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M5330556\Downloads\"/>
    </mc:Choice>
  </mc:AlternateContent>
  <xr:revisionPtr revIDLastSave="0" documentId="13_ncr:1_{2F2F1689-F667-42E0-BAD4-9FD583941932}"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08" yWindow="-108" windowWidth="23256" windowHeight="12456" tabRatio="789" activeTab="7"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C5"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J5" i="5"/>
  <c r="H5" i="5"/>
  <c r="G5" i="5"/>
  <c r="F5" i="5"/>
  <c r="R5" i="5"/>
  <c r="E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<sst xmlns="http://schemas.openxmlformats.org/spreadsheetml/2006/main" count="22538" uniqueCount="15895">
  <si>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</si>
  <si>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</si>
  <si>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</si>
  <si>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</si>
  <si>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</si>
  <si>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</si>
  <si>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</si>
  <si>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</si>
  <si>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</si>
  <si>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</si>
  <si>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</si>
  <si>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</si>
  <si>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</si>
  <si>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</si>
  <si>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</si>
  <si>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</si>
  <si>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</si>
  <si>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</si>
  <si>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</si>
  <si>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</si>
  <si>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</si>
  <si>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</si>
  <si>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</si>
  <si>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</si>
  <si>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</si>
  <si>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</si>
  <si>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</si>
  <si>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</si>
  <si>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</si>
  <si>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</si>
  <si>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</si>
  <si>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</si>
  <si>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</si>
  <si>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</si>
  <si>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</si>
  <si>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</si>
  <si>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</si>
  <si>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</si>
  <si>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</si>
  <si>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</si>
  <si>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</si>
  <si>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</si>
  <si>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</si>
  <si>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</si>
  <si>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</si>
  <si>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</si>
  <si>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</si>
  <si>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</si>
  <si>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</si>
  <si>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</si>
  <si>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</si>
  <si>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</si>
  <si>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</si>
  <si>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</si>
  <si>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</si>
  <si>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</si>
  <si>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</si>
  <si>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</si>
  <si>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</si>
  <si>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</si>
  <si>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</si>
  <si>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</si>
  <si>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</si>
  <si>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</si>
  <si>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</si>
  <si>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</si>
  <si>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</si>
  <si>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</si>
  <si>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</si>
  <si>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</si>
  <si>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</si>
  <si>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</si>
  <si>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</si>
  <si>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</si>
  <si>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</si>
  <si>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</si>
  <si>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</si>
  <si>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</si>
  <si>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</si>
  <si>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</si>
  <si>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</si>
  <si>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</si>
  <si>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</si>
  <si>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</si>
  <si>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</si>
  <si>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</si>
  <si>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</si>
  <si>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</si>
  <si>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</si>
  <si>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</si>
  <si>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</si>
  <si>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</si>
  <si>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</si>
  <si>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</si>
  <si>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</si>
  <si>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</si>
  <si>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</si>
  <si>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</si>
  <si>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</si>
  <si>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</si>
  <si>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</si>
  <si>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</si>
  <si>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</si>
  <si>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</si>
  <si>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</si>
  <si>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</si>
  <si>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</si>
  <si>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</si>
  <si>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</si>
  <si>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</si>
  <si>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</si>
  <si>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</si>
  <si>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</si>
  <si>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</si>
  <si>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</si>
  <si>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</si>
  <si>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</si>
  <si>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</si>
  <si>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</si>
  <si>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</si>
  <si>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</si>
  <si>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</si>
  <si>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</si>
  <si>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</si>
  <si>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</si>
  <si>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</si>
  <si>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</si>
  <si>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</si>
  <si>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</si>
  <si>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</si>
  <si>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</si>
  <si>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</si>
  <si>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</si>
  <si>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</si>
  <si>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</si>
  <si>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</si>
  <si>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</si>
  <si>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</si>
  <si>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</si>
  <si>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</si>
  <si>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</si>
  <si>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</si>
  <si>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</si>
  <si>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</si>
  <si>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</si>
  <si>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</si>
  <si>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</si>
  <si>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</si>
  <si>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</si>
  <si>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</si>
  <si>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</si>
  <si>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</si>
  <si>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</si>
  <si>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</si>
  <si>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</si>
  <si>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</si>
  <si>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</si>
  <si>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</si>
  <si>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</si>
  <si>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</si>
  <si>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</si>
  <si>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</si>
  <si>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</si>
  <si>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</si>
  <si>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</si>
  <si>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</si>
  <si>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</si>
  <si>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</si>
  <si>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</si>
  <si>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</si>
  <si>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</si>
  <si>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</si>
  <si>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</si>
  <si>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</si>
  <si>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</si>
  <si>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</si>
  <si>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</si>
  <si>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</si>
  <si>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</si>
  <si>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</si>
  <si>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</si>
  <si>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</si>
  <si>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</si>
  <si>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</si>
  <si>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</si>
  <si>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</si>
  <si>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</si>
  <si>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</si>
  <si>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</si>
  <si>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</si>
  <si>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</si>
  <si>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</si>
  <si>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</si>
  <si>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</si>
  <si>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</si>
  <si>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</si>
  <si>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</si>
  <si>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</si>
  <si>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</si>
  <si>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</si>
  <si>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</si>
  <si>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</si>
  <si>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</si>
  <si>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</si>
  <si>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</si>
  <si>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</si>
  <si>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</si>
  <si>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</si>
  <si>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</si>
  <si>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</si>
  <si>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</si>
  <si>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</si>
  <si>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</si>
  <si>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</si>
  <si>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</si>
  <si>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</si>
  <si>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</si>
  <si>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</si>
  <si>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</si>
  <si>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</si>
  <si>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</si>
  <si>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</si>
  <si>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</si>
  <si>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</si>
  <si>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</si>
  <si>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</si>
  <si>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</si>
  <si>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</si>
  <si>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</si>
  <si>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</si>
  <si>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</si>
  <si>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</si>
  <si>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</si>
  <si>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</si>
  <si>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</si>
  <si>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</si>
  <si>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</si>
  <si>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</si>
  <si>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</si>
  <si>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</si>
  <si>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</si>
  <si>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</si>
  <si>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</si>
  <si>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</si>
  <si>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</si>
  <si>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</si>
  <si>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</si>
  <si>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</si>
  <si>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</si>
  <si>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</si>
  <si>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</si>
  <si>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</si>
  <si>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</si>
  <si>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</si>
  <si>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</si>
  <si>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</si>
  <si>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</si>
  <si>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</si>
  <si>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</si>
  <si>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</si>
  <si>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</si>
  <si>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</si>
  <si>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</si>
  <si>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</si>
  <si>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</si>
  <si>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</si>
  <si>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</si>
  <si>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</si>
  <si>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</si>
  <si>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</si>
  <si>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</si>
  <si>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</si>
  <si>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</si>
  <si>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</si>
  <si>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</si>
  <si>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</si>
  <si>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</si>
  <si>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</si>
  <si>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</si>
  <si>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</si>
  <si>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</si>
  <si>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</si>
  <si>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</si>
  <si>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</si>
  <si>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</si>
  <si>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</si>
  <si>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</si>
  <si>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</si>
  <si>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</si>
  <si>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</si>
  <si>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</si>
  <si>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</si>
  <si>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</si>
  <si>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</si>
  <si>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</si>
  <si>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</si>
  <si>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</si>
  <si>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</si>
  <si>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</si>
  <si>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</si>
  <si>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</si>
  <si>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</si>
  <si>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</si>
  <si>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</si>
  <si>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</si>
  <si>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</si>
  <si>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</si>
  <si>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</si>
  <si>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</si>
  <si>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</si>
  <si>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</si>
  <si>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</si>
  <si>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</si>
  <si>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</si>
  <si>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</si>
  <si>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</si>
  <si>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</si>
  <si>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</si>
  <si>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</si>
  <si>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</si>
  <si>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</si>
  <si>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</si>
  <si>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</si>
  <si>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</si>
  <si>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</si>
  <si>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</si>
  <si>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</si>
  <si>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</si>
  <si>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</si>
  <si>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</si>
  <si>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</si>
  <si>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</si>
  <si>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</si>
  <si>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</si>
  <si>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</si>
  <si>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</si>
  <si>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</si>
  <si>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</si>
  <si>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</si>
  <si>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</si>
  <si>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</si>
  <si>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</si>
  <si>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</si>
  <si>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</si>
  <si>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</si>
  <si>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</si>
  <si>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</si>
  <si>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</si>
  <si>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</si>
  <si>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</si>
  <si>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</si>
  <si>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</si>
  <si>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</si>
  <si>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</si>
  <si>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</si>
  <si>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</si>
  <si>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</si>
  <si>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</si>
  <si>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</si>
  <si>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</si>
  <si>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</si>
  <si>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</si>
  <si>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</si>
  <si>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</si>
  <si>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</si>
  <si>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</si>
  <si>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</si>
  <si>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</si>
  <si>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</si>
  <si>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</si>
  <si>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</si>
  <si>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</si>
  <si>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</si>
  <si>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</si>
  <si>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</si>
  <si>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</si>
  <si>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</si>
  <si>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</si>
  <si>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</si>
  <si>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</si>
  <si>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</si>
  <si>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</si>
  <si>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</si>
  <si>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</si>
  <si>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</si>
  <si>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</si>
  <si>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</si>
  <si>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</si>
  <si>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</si>
  <si>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</si>
  <si>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</si>
  <si>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</si>
  <si>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</si>
  <si>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</si>
  <si>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</si>
  <si>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</si>
  <si>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</si>
  <si>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</si>
  <si>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</si>
  <si>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</si>
  <si>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</si>
  <si>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</si>
  <si>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</si>
  <si>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</si>
  <si>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</si>
  <si>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</si>
  <si>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</si>
  <si>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</si>
  <si>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</si>
  <si>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</si>
  <si>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</si>
  <si>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</si>
  <si>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</si>
  <si>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</si>
  <si>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</si>
  <si>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</si>
  <si>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</si>
  <si>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</si>
  <si>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</si>
  <si>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</si>
  <si>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</si>
  <si>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</si>
  <si>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</si>
  <si>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</si>
  <si>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</si>
  <si>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</si>
  <si>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</si>
  <si>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</si>
  <si>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</si>
  <si>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</si>
  <si>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</si>
  <si>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</si>
  <si>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</si>
  <si>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</si>
  <si>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</si>
  <si>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</si>
  <si>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</si>
  <si>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</si>
  <si>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</si>
  <si>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</si>
  <si>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</si>
  <si>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</si>
  <si>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</si>
  <si>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</si>
  <si>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</si>
  <si>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</si>
  <si>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</si>
  <si>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</si>
  <si>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</si>
  <si>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</si>
  <si>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</si>
  <si>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</si>
  <si>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</si>
  <si>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</si>
  <si>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</si>
  <si>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</si>
  <si>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</si>
  <si>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</si>
  <si>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</si>
  <si>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</si>
  <si>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</si>
  <si>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</si>
  <si>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</si>
  <si>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</si>
  <si>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</si>
  <si>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</si>
  <si>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</si>
  <si>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</si>
  <si>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</si>
  <si>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</si>
  <si>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</si>
  <si>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</si>
  <si>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</si>
  <si>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</si>
  <si>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</si>
  <si>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</si>
  <si>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</si>
  <si>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</si>
  <si>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</si>
  <si>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</si>
  <si>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</si>
  <si>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</si>
  <si>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</si>
  <si>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</si>
  <si>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</si>
  <si>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</si>
  <si>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</si>
  <si>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</si>
  <si>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</si>
  <si>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</si>
  <si>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</si>
  <si>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</si>
  <si>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</si>
  <si>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</si>
  <si>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</si>
  <si>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</si>
  <si>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</si>
  <si>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</si>
  <si>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</si>
  <si>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</si>
  <si>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</si>
  <si>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</si>
  <si>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</si>
  <si>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</si>
  <si>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</si>
  <si>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</si>
  <si>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</si>
  <si>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</si>
  <si>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</si>
  <si>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</si>
  <si>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</si>
  <si>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</si>
  <si>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</si>
  <si>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</si>
  <si>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</si>
  <si>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</si>
  <si>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</si>
  <si>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</si>
  <si>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</si>
  <si>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</si>
  <si>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</si>
  <si>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</si>
  <si>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</si>
  <si>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</si>
  <si>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</si>
  <si>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</si>
  <si>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</si>
  <si>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</si>
  <si>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</si>
  <si>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</si>
  <si>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</si>
  <si>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</si>
  <si>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</si>
  <si>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</si>
  <si>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</si>
  <si>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</si>
  <si>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</si>
  <si>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</si>
  <si>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</si>
  <si>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</si>
  <si>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</si>
  <si>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</si>
  <si>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</si>
  <si>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</si>
  <si>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</si>
  <si>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</si>
  <si>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</si>
  <si>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</si>
  <si>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</si>
  <si>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</si>
  <si>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</si>
  <si>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</si>
  <si>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</si>
  <si>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</si>
  <si>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</si>
  <si>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</si>
  <si>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</si>
  <si>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</si>
  <si>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</si>
  <si>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</si>
  <si>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</si>
  <si>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</si>
  <si>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</si>
  <si>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</si>
  <si>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</si>
  <si>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</si>
  <si>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</si>
  <si>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</si>
  <si>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</si>
  <si>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</si>
  <si>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</si>
  <si>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</si>
  <si>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</si>
  <si>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</si>
  <si>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</si>
  <si>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</si>
  <si>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</si>
  <si>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</si>
  <si>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</si>
  <si>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</si>
  <si>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</si>
  <si>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</si>
  <si>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</si>
  <si>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</si>
  <si>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</si>
  <si>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</si>
  <si>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</si>
  <si>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</si>
  <si>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</si>
  <si>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</si>
  <si>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</si>
  <si>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</si>
  <si>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</si>
  <si>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</si>
  <si>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</si>
  <si>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</si>
  <si>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</si>
  <si>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</si>
  <si>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</si>
  <si>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</si>
  <si>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</si>
  <si>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</si>
  <si>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</si>
  <si>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</si>
  <si>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</si>
  <si>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</si>
  <si>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</si>
  <si>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</si>
  <si>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</si>
  <si>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</si>
  <si>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</si>
  <si>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</si>
  <si>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</si>
  <si>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</si>
  <si>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</si>
  <si>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</si>
  <si>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</si>
  <si>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</si>
  <si>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</si>
  <si>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</si>
  <si>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</si>
  <si>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</si>
  <si>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</si>
  <si>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</si>
  <si>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</si>
  <si>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</si>
  <si>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</si>
  <si>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</si>
  <si>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</si>
  <si>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</si>
  <si>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</si>
  <si>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</si>
  <si>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</si>
  <si>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</si>
  <si>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</si>
  <si>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</si>
  <si>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</si>
  <si>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</si>
  <si>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</si>
  <si>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</si>
  <si>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</si>
  <si>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</si>
  <si>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</si>
  <si>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</si>
  <si>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</si>
  <si>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</si>
  <si>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</si>
  <si>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</si>
  <si>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</si>
  <si>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</si>
  <si>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</si>
  <si>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</si>
  <si>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</si>
  <si>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</si>
  <si>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</si>
  <si>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</si>
  <si>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</si>
  <si>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</si>
  <si>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</si>
  <si>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</si>
  <si>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</si>
  <si>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</si>
  <si>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</si>
  <si>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</si>
  <si>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</si>
  <si>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</si>
  <si>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</si>
  <si>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</si>
  <si>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</si>
  <si>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</si>
  <si>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</si>
  <si>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</si>
  <si>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</si>
  <si>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</si>
  <si>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</si>
  <si>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</si>
  <si>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</si>
  <si>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</si>
  <si>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</si>
  <si>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</si>
  <si>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</si>
  <si>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</si>
  <si>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</si>
  <si>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</si>
  <si>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</si>
  <si>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</si>
  <si>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</si>
  <si>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</si>
  <si>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</si>
  <si>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</si>
  <si>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</si>
  <si>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</si>
  <si>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</si>
  <si>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</si>
  <si>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</si>
  <si>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</si>
  <si>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</si>
  <si>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</si>
  <si>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</si>
  <si>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</si>
  <si>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</si>
  <si>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</si>
  <si>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</si>
  <si>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</si>
  <si>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</si>
  <si>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</si>
  <si>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</si>
  <si>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</si>
  <si>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</si>
  <si>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</si>
  <si>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</si>
  <si>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</si>
  <si>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</si>
  <si>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</si>
  <si>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</si>
  <si>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</si>
  <si>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</si>
  <si>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</si>
  <si>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</si>
  <si>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</si>
  <si>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</si>
  <si>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</si>
  <si>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</si>
  <si>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</si>
  <si>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</si>
  <si>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</si>
  <si>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</si>
  <si>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</si>
  <si>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</si>
  <si>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</si>
  <si>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</si>
  <si>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</si>
  <si>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</si>
  <si>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</si>
  <si>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</si>
  <si>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</si>
  <si>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</si>
  <si>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</si>
  <si>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</si>
  <si>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</si>
  <si>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</si>
  <si>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</si>
  <si>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</si>
  <si>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</si>
  <si>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</si>
  <si>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</si>
  <si>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</si>
  <si>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</si>
  <si>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</si>
  <si>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</si>
  <si>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</si>
  <si>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</si>
  <si>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</si>
  <si>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</si>
  <si>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</si>
  <si>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</si>
  <si>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</si>
  <si>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</si>
  <si>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</si>
  <si>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</si>
  <si>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</si>
  <si>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</si>
  <si>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</si>
  <si>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</si>
  <si>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</si>
  <si>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</si>
  <si>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</si>
  <si>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</si>
  <si>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</si>
  <si>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</si>
  <si>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</si>
  <si>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</si>
  <si>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</si>
  <si>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</si>
  <si>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</si>
  <si>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</si>
  <si>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</si>
  <si>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</si>
  <si>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</si>
  <si>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</si>
  <si>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</si>
  <si>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</si>
  <si>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</si>
  <si>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</si>
  <si>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</si>
  <si>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</si>
  <si>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</si>
  <si>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</si>
  <si>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</si>
  <si>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</si>
  <si>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</si>
  <si>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</si>
  <si>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</si>
  <si>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</si>
  <si>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</si>
  <si>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</si>
  <si>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</si>
  <si>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</si>
  <si>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</si>
  <si>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</si>
  <si>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</si>
  <si>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</si>
  <si>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</si>
  <si>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</si>
  <si>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</si>
  <si>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</si>
  <si>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</si>
  <si>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</si>
  <si>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</si>
  <si>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</si>
  <si>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</si>
  <si>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</si>
  <si>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</si>
  <si>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</si>
  <si>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</si>
  <si>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</si>
  <si>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</si>
  <si>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</si>
  <si>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</si>
  <si>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</si>
  <si>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</si>
  <si>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</si>
  <si>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</si>
  <si>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</si>
  <si>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</si>
  <si>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</si>
  <si>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</si>
  <si>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</si>
  <si>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</si>
  <si>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</si>
  <si>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</si>
  <si>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</si>
  <si>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</si>
  <si>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</si>
  <si>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</si>
  <si>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</si>
  <si>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</si>
  <si>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</si>
  <si>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</si>
  <si>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</si>
  <si>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</si>
  <si>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</si>
  <si>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</si>
  <si>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</si>
  <si>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</si>
  <si>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</si>
  <si>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</si>
  <si>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</si>
  <si>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</si>
  <si>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</si>
  <si>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</si>
  <si>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</si>
  <si>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</si>
  <si>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</si>
  <si>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</si>
  <si>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</si>
  <si>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</si>
  <si>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</si>
  <si>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</si>
  <si>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</si>
  <si>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</si>
  <si>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</si>
  <si>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</si>
  <si>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</si>
  <si>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</si>
  <si>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</si>
  <si>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</si>
  <si>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</si>
  <si>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</si>
  <si>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</si>
  <si>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</si>
  <si>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</si>
  <si>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</si>
  <si>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</si>
  <si>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</si>
  <si>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</si>
  <si>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</si>
  <si>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</si>
  <si>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</si>
  <si>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</si>
  <si>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</si>
  <si>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</si>
  <si>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</si>
  <si>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</si>
  <si>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</si>
  <si>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</si>
  <si>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</si>
  <si>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</si>
  <si>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</si>
  <si>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</si>
  <si>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</si>
  <si>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</si>
  <si>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</si>
  <si>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</si>
  <si>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</si>
  <si>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</si>
  <si>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</si>
  <si>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</si>
  <si>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</si>
  <si>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</si>
  <si>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</si>
  <si>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</si>
  <si>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</si>
  <si>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</si>
  <si>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</si>
  <si>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</si>
  <si>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</si>
  <si>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</si>
  <si>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</si>
  <si>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</si>
  <si>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</si>
  <si>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</si>
  <si>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</si>
  <si>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</si>
  <si>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</si>
  <si>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</si>
  <si>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</si>
  <si>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</si>
  <si>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</si>
  <si>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</si>
  <si>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</si>
  <si>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</si>
  <si>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</si>
  <si>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</si>
  <si>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</si>
  <si>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</si>
  <si>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</si>
  <si>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</si>
  <si>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</si>
  <si>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</si>
  <si>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</si>
  <si>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</si>
  <si>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</si>
  <si>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</si>
  <si>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</si>
  <si>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</si>
  <si>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</si>
  <si>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</si>
  <si>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</si>
  <si>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</si>
  <si>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</si>
  <si>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</si>
  <si>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</si>
  <si>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</si>
  <si>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</si>
  <si>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</si>
  <si>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</si>
  <si>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</si>
  <si>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</si>
  <si>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</si>
  <si>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</si>
  <si>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</si>
  <si>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</si>
  <si>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</si>
  <si>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</si>
  <si>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</si>
  <si>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</si>
  <si>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</si>
  <si>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</si>
  <si>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</si>
  <si>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</si>
  <si>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</si>
  <si>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</si>
  <si>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</si>
  <si>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</si>
  <si>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</si>
  <si>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</si>
  <si>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</si>
  <si>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</si>
  <si>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</si>
  <si>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</si>
  <si>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</si>
  <si>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</si>
  <si>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</si>
  <si>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</si>
  <si>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</si>
  <si>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</si>
  <si>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</si>
  <si>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</si>
  <si>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</si>
  <si>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</si>
  <si>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</si>
  <si>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</si>
  <si>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</si>
  <si>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</si>
  <si>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</si>
  <si>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</si>
  <si>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</si>
  <si>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</si>
  <si>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</si>
  <si>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</si>
  <si>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</si>
  <si>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</si>
  <si>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</si>
  <si>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</si>
  <si>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</si>
  <si>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</si>
  <si>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</si>
  <si>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</si>
  <si>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</si>
  <si>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</si>
  <si>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</si>
  <si>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</si>
  <si>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</si>
  <si>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</si>
  <si>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</si>
  <si>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</si>
  <si>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</si>
  <si>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</si>
  <si>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</si>
  <si>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</si>
  <si>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</si>
  <si>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</si>
  <si>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</si>
  <si>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</si>
  <si>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</si>
  <si>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</si>
  <si>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</si>
  <si>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</si>
  <si>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</si>
  <si>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</si>
  <si>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</si>
  <si>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</si>
  <si>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</si>
  <si>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</si>
  <si>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</si>
  <si>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</si>
  <si>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</si>
  <si>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</si>
  <si>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</si>
  <si>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</si>
  <si>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</si>
  <si>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</si>
  <si>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</si>
  <si>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</si>
  <si>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</si>
  <si>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</si>
  <si>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</si>
  <si>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</si>
  <si>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</si>
  <si>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</si>
  <si>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</si>
  <si>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</si>
  <si>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</si>
  <si>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</si>
  <si>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</si>
  <si>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</si>
  <si>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</si>
  <si>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</si>
  <si>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</si>
  <si>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</si>
  <si>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</si>
  <si>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</si>
  <si>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</si>
  <si>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</si>
  <si>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</si>
  <si>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</si>
  <si>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</si>
  <si>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</si>
  <si>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</si>
  <si>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</si>
  <si>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</si>
  <si>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</si>
  <si>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</si>
  <si>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</si>
  <si>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</si>
  <si>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</si>
  <si>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</si>
  <si>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</si>
  <si>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</si>
  <si>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</si>
  <si>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</si>
  <si>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</si>
  <si>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</si>
  <si>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</si>
  <si>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</si>
  <si>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</si>
  <si>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</si>
  <si>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</si>
  <si>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</si>
  <si>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</si>
  <si>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</si>
  <si>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</si>
  <si>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</si>
  <si>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</si>
  <si>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</si>
  <si>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</si>
  <si>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</si>
  <si>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</si>
  <si>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</si>
  <si>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</si>
  <si>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</si>
  <si>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</si>
  <si>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</si>
  <si>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</si>
  <si>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</si>
  <si>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</si>
  <si>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</si>
  <si>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</si>
  <si>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</si>
  <si>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</si>
  <si>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</si>
  <si>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</si>
  <si>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</si>
  <si>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</si>
  <si>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</si>
  <si>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</si>
  <si>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</si>
  <si>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</si>
  <si>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</si>
  <si>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</si>
  <si>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</si>
  <si>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</si>
  <si>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</si>
  <si>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</si>
  <si>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</si>
  <si>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</si>
  <si>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</si>
  <si>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</si>
  <si>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</si>
  <si>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</si>
  <si>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</si>
  <si>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</si>
  <si>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</si>
  <si>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</si>
  <si>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</si>
  <si>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</si>
  <si>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</si>
  <si>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</si>
  <si>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</si>
  <si>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</si>
  <si>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</si>
  <si>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</si>
  <si>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</si>
  <si>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</si>
  <si>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</si>
  <si>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</si>
  <si>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</si>
  <si>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</si>
  <si>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</si>
  <si>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</si>
  <si>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</si>
  <si>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</si>
  <si>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</si>
  <si>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</si>
  <si>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</si>
  <si>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</si>
  <si>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</si>
  <si>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</si>
  <si>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</si>
  <si>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</si>
  <si>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</si>
  <si>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</si>
  <si>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</si>
  <si>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</si>
  <si>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</si>
  <si>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</si>
  <si>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</si>
  <si>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</si>
  <si>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</si>
  <si>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</si>
  <si>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</si>
  <si>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</si>
  <si>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</si>
  <si>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</si>
  <si>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</si>
  <si>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</si>
  <si>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</si>
  <si>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</si>
  <si>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</si>
  <si>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</si>
  <si>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</si>
  <si>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</si>
  <si>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</si>
  <si>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</si>
  <si>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</si>
  <si>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</si>
  <si>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</si>
  <si>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</si>
  <si>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</si>
  <si>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</si>
  <si>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</si>
  <si>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</si>
  <si>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</si>
  <si>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</si>
  <si>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</si>
  <si>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</si>
  <si>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</si>
  <si>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</si>
  <si>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</si>
  <si>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</si>
  <si>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</si>
  <si>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</si>
  <si>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</si>
  <si>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</si>
  <si>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</si>
  <si>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</si>
  <si>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</si>
  <si>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</si>
  <si>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</si>
  <si>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</si>
  <si>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</si>
  <si>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</si>
  <si>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</si>
  <si>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</si>
  <si>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</si>
  <si>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</si>
  <si>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</si>
  <si>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</si>
  <si>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</si>
  <si>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</si>
  <si>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</si>
  <si>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</si>
  <si>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</si>
  <si>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</si>
  <si>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</si>
  <si>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</si>
  <si>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</si>
  <si>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</si>
  <si>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</si>
  <si>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</si>
  <si>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</si>
  <si>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</si>
  <si>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</si>
  <si>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</si>
  <si>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</si>
  <si>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</si>
  <si>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</si>
  <si>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</si>
  <si>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</si>
  <si>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</si>
  <si>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</si>
  <si>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</si>
  <si>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</si>
  <si>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</si>
  <si>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</si>
  <si>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</si>
  <si>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</si>
  <si>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</si>
  <si>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</si>
  <si>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</si>
  <si>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</si>
  <si>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</si>
  <si>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</si>
  <si>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</si>
  <si>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</si>
  <si>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</si>
  <si>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</si>
  <si>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</si>
  <si>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</si>
  <si>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</si>
  <si>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</si>
  <si>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</si>
  <si>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</si>
  <si>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</si>
  <si>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</si>
  <si>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</si>
  <si>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</si>
  <si>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</si>
  <si>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</si>
  <si>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</si>
  <si>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</si>
  <si>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</si>
  <si>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</si>
  <si>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</si>
  <si>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</si>
  <si>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</si>
  <si>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</si>
  <si>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</si>
  <si>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</si>
  <si>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</si>
  <si>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</si>
  <si>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</si>
  <si>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</si>
  <si>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</si>
  <si>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</si>
  <si>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</si>
  <si>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</si>
  <si>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</si>
  <si>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</si>
  <si>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</si>
  <si>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</si>
  <si>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</si>
  <si>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</si>
  <si>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</si>
  <si>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</si>
  <si>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</si>
  <si>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</si>
  <si>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</si>
  <si>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</si>
  <si>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</si>
  <si>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</si>
  <si>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</si>
  <si>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</si>
  <si>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</si>
  <si>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</si>
  <si>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</si>
  <si>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</si>
  <si>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</si>
  <si>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</si>
  <si>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</si>
  <si>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</si>
  <si>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</si>
  <si>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</si>
  <si>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</si>
  <si>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</si>
  <si>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</si>
  <si>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</si>
  <si>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</si>
  <si>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</si>
  <si>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</si>
  <si>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</si>
  <si>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</si>
  <si>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</si>
  <si>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</si>
  <si>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</si>
  <si>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</si>
  <si>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</si>
  <si>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</si>
  <si>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</si>
  <si>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</si>
  <si>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</si>
  <si>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</si>
  <si>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</si>
  <si>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</si>
  <si>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</si>
  <si>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</si>
  <si>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</si>
  <si>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</si>
  <si>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</si>
  <si>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</si>
  <si>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</si>
  <si>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</si>
  <si>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</si>
  <si>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</si>
  <si>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</si>
  <si>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</si>
  <si>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</si>
  <si>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</si>
  <si>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</si>
  <si>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</si>
  <si>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</si>
  <si>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</si>
  <si>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</si>
  <si>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</si>
  <si>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</si>
  <si>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</si>
  <si>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</si>
  <si>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</si>
  <si>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</si>
  <si>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</si>
  <si>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</si>
  <si>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</si>
  <si>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</si>
  <si>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</si>
  <si>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</si>
  <si>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</si>
  <si>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</si>
  <si>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</si>
  <si>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</si>
  <si>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</si>
  <si>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</si>
  <si>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</si>
  <si>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</si>
  <si>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</si>
  <si>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</si>
  <si>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</si>
  <si>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</si>
  <si>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</si>
  <si>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</si>
  <si>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</si>
  <si>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</si>
  <si>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</si>
  <si>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</si>
  <si>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</si>
  <si>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</si>
  <si>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</si>
  <si>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</si>
  <si>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</si>
  <si>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</si>
  <si>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</si>
  <si>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</si>
  <si>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</si>
  <si>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</si>
  <si>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</si>
  <si>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</si>
  <si>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</si>
  <si>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</si>
  <si>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</si>
  <si>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</si>
  <si>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</si>
  <si>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</si>
  <si>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</si>
  <si>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</si>
  <si>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</si>
  <si>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</si>
  <si>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</si>
  <si>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</si>
  <si>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</si>
  <si>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</si>
  <si>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</si>
  <si>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</si>
  <si>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</si>
  <si>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</si>
  <si>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</si>
  <si>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</si>
  <si>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</si>
  <si>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</si>
  <si>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</si>
  <si>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</si>
  <si>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</si>
  <si>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</si>
  <si>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</si>
  <si>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</si>
  <si>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</si>
  <si>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</si>
  <si>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</si>
  <si>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</si>
  <si>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</si>
  <si>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</si>
  <si>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</si>
  <si>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</si>
  <si>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</si>
  <si>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</si>
  <si>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</si>
  <si>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</si>
  <si>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</si>
  <si>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</si>
  <si>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</si>
  <si>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</si>
  <si>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</si>
  <si>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</si>
  <si>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</si>
  <si>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</si>
  <si>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</si>
  <si>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</si>
  <si>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</si>
  <si>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</si>
  <si>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</si>
  <si>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</si>
  <si>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</si>
  <si>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</si>
  <si>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</si>
  <si>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</si>
  <si>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</si>
  <si>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</si>
  <si>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</si>
  <si>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</si>
  <si>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</si>
  <si>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</si>
  <si>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</si>
  <si>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</si>
  <si>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</si>
  <si>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</si>
  <si>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</si>
  <si>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</si>
  <si>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</si>
  <si>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</si>
  <si>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</si>
  <si>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</si>
  <si>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</si>
  <si>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</si>
  <si>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</si>
  <si>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</si>
  <si>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</si>
  <si>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</si>
  <si>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</si>
  <si>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</si>
  <si>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</si>
  <si>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</si>
  <si>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</si>
  <si>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</si>
  <si>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</si>
  <si>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</si>
  <si>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</si>
  <si>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</si>
  <si>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</si>
  <si>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</si>
  <si>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</si>
  <si>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</si>
  <si>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</si>
  <si>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</si>
  <si>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</si>
  <si>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</si>
  <si>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</si>
  <si>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</si>
  <si>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</si>
  <si>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</si>
  <si>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</si>
  <si>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</si>
  <si>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</si>
  <si>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</si>
  <si>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</si>
  <si>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</si>
  <si>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</si>
  <si>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</si>
  <si>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</si>
  <si>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</si>
  <si>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</si>
  <si>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</si>
  <si>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</si>
  <si>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</si>
  <si>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</si>
  <si>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</si>
  <si>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</si>
  <si>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</si>
  <si>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</si>
  <si>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</si>
  <si>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</si>
  <si>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</si>
  <si>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</si>
  <si>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</si>
  <si>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</si>
  <si>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</si>
  <si>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</si>
  <si>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</si>
  <si>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</si>
  <si>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</si>
  <si>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</si>
  <si>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</si>
  <si>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</si>
  <si>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</si>
  <si>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</si>
  <si>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</si>
  <si>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</si>
  <si>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</si>
  <si>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</si>
  <si>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</si>
  <si>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</si>
  <si>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</si>
  <si>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</si>
  <si>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</si>
  <si>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</si>
  <si>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</si>
  <si>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</si>
  <si>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</si>
  <si>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</si>
  <si>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</si>
  <si>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</si>
  <si>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</si>
  <si>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</si>
  <si>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</si>
  <si>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</si>
  <si>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</si>
  <si>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</si>
  <si>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</si>
  <si>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</si>
  <si>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</si>
  <si>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</si>
  <si>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</si>
  <si>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</si>
  <si>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</si>
  <si>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</si>
  <si>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</si>
  <si>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</si>
  <si>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</si>
  <si>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</si>
  <si>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</si>
  <si>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</si>
  <si>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</si>
  <si>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</si>
  <si>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</si>
  <si>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</si>
  <si>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</si>
  <si>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</si>
  <si>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</si>
  <si>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</si>
  <si>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</si>
  <si>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</si>
  <si>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</si>
  <si>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</si>
  <si>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</si>
  <si>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</si>
  <si>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</si>
  <si>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</si>
  <si>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</si>
  <si>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</si>
  <si>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</si>
  <si>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</si>
  <si>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</si>
  <si>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</si>
  <si>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</si>
  <si>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</si>
  <si>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</si>
  <si>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</si>
  <si>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</si>
  <si>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</si>
  <si>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</si>
  <si>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</si>
  <si>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</si>
  <si>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</si>
  <si>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</si>
  <si>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</si>
  <si>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</si>
  <si>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</si>
  <si>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</si>
  <si>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</si>
  <si>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</si>
  <si>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</si>
  <si>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</si>
  <si>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</si>
  <si>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</si>
  <si>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</si>
  <si>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</si>
  <si>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</si>
  <si>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</si>
  <si>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</si>
  <si>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</si>
  <si>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</si>
  <si>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</si>
  <si>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</si>
  <si>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</si>
  <si>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</si>
  <si>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</si>
  <si>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</si>
  <si>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</si>
  <si>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</si>
  <si>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</si>
  <si>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</si>
  <si>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</si>
  <si>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</si>
  <si>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</si>
  <si>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</si>
  <si>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</si>
  <si>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</si>
  <si>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</si>
  <si>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</si>
  <si>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</si>
  <si>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</si>
  <si>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</si>
  <si>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</si>
  <si>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</si>
  <si>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</si>
  <si>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</si>
  <si>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</si>
  <si>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</si>
  <si>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</si>
  <si>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</si>
  <si>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</si>
  <si>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</si>
  <si>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</si>
  <si>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</si>
  <si>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</si>
  <si>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</si>
  <si>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</si>
  <si>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</si>
  <si>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</si>
  <si>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</si>
  <si>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</si>
  <si>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</si>
  <si>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</si>
  <si>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</si>
  <si>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</si>
  <si>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</si>
  <si>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</si>
  <si>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</si>
  <si>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</si>
  <si>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</si>
  <si>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</si>
  <si>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</si>
  <si>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</si>
  <si>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</si>
  <si>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</si>
  <si>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</si>
  <si>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</si>
  <si>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</si>
  <si>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</si>
  <si>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</si>
  <si>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</si>
  <si>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</si>
  <si>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</si>
  <si>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</si>
  <si>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</si>
  <si>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</si>
  <si>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</si>
  <si>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</si>
  <si>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</si>
  <si>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</si>
  <si>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</si>
  <si>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</si>
  <si>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</si>
  <si>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</si>
  <si>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</si>
  <si>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</si>
  <si>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</si>
  <si>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</si>
  <si>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</si>
  <si>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</si>
  <si>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</si>
  <si>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</si>
  <si>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</si>
  <si>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</si>
  <si>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</si>
  <si>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</si>
  <si>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</si>
  <si>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</si>
  <si>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</si>
  <si>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</si>
  <si>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</si>
  <si>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</si>
  <si>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</si>
  <si>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</si>
  <si>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</si>
  <si>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</si>
  <si>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</si>
  <si>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</si>
  <si>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</si>
  <si>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</si>
  <si>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</si>
  <si>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</si>
  <si>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</si>
  <si>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</si>
  <si>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</si>
  <si>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</si>
  <si>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</si>
  <si>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</si>
  <si>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</si>
  <si>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</si>
  <si>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</si>
  <si>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</si>
  <si>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</si>
  <si>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</si>
  <si>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</si>
  <si>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</si>
  <si>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</si>
  <si>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</si>
  <si>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</si>
  <si>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</si>
  <si>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</si>
  <si>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</si>
  <si>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</si>
  <si>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</si>
  <si>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</si>
  <si>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</si>
  <si>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</si>
  <si>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</si>
  <si>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</si>
  <si>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</si>
  <si>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</si>
  <si>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</si>
  <si>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</si>
  <si>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</si>
  <si>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</si>
  <si>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</si>
  <si>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</si>
  <si>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</si>
  <si>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</si>
  <si>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</si>
  <si>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</si>
  <si>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</si>
  <si>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</si>
  <si>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</si>
  <si>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</si>
  <si>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</si>
  <si>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</si>
  <si>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</si>
  <si>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</si>
  <si>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</si>
  <si>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</si>
  <si>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</si>
  <si>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</si>
  <si>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</si>
  <si>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</si>
  <si>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</si>
  <si>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</si>
  <si>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</si>
  <si>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</si>
  <si>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</si>
  <si>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</si>
  <si>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</si>
  <si>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</si>
  <si>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</si>
  <si>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</si>
  <si>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</si>
  <si>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</si>
  <si>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</si>
  <si>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</si>
  <si>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</si>
  <si>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</si>
  <si>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</si>
  <si>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</si>
  <si>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</si>
  <si>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</si>
  <si>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</si>
  <si>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</si>
  <si>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</si>
  <si>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</si>
  <si>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</si>
  <si>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</si>
  <si>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</si>
  <si>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</si>
  <si>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</si>
  <si>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</si>
  <si>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</si>
  <si>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</si>
  <si>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</si>
  <si>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</si>
  <si>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</si>
  <si>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</si>
  <si>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</si>
  <si>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</si>
  <si>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</si>
  <si>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</si>
  <si>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</si>
  <si>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</si>
  <si>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</si>
  <si>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</si>
  <si>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</si>
  <si>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</si>
  <si>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</si>
  <si>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</si>
  <si>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</si>
  <si>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</si>
  <si>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</si>
  <si>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</si>
  <si>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</si>
  <si>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</si>
  <si>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</si>
  <si>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</si>
  <si>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</si>
  <si>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</si>
  <si>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</si>
  <si>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</si>
  <si>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</si>
  <si>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</si>
  <si>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</si>
  <si>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</si>
  <si>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</si>
  <si>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</si>
  <si>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</si>
  <si>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</si>
  <si>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</si>
  <si>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</si>
  <si>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</si>
  <si>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</si>
  <si>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</si>
  <si>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</si>
  <si>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</si>
  <si>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</si>
  <si>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</si>
  <si>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</si>
  <si>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</si>
  <si>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</si>
  <si>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</si>
  <si>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</si>
  <si>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</si>
  <si>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</si>
  <si>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</si>
  <si>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</si>
  <si>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</si>
  <si>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</si>
  <si>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</si>
  <si>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</si>
  <si>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</si>
  <si>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</si>
  <si>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</si>
  <si>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</si>
  <si>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</si>
  <si>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</si>
  <si>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</si>
  <si>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</si>
  <si>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</si>
  <si>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</si>
  <si>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</si>
  <si>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</si>
  <si>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</si>
  <si>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</si>
  <si>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</si>
  <si>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</si>
  <si>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</si>
  <si>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</si>
  <si>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</si>
  <si>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</si>
  <si>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</si>
  <si>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</si>
  <si>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</si>
  <si>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</si>
  <si>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</si>
  <si>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</si>
  <si>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</si>
  <si>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</si>
  <si>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</si>
  <si>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</si>
  <si>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</si>
  <si>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</si>
  <si>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</si>
  <si>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</si>
  <si>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</si>
  <si>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</si>
  <si>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</si>
  <si>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</si>
  <si>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</si>
  <si>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</si>
  <si>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</si>
  <si>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</si>
  <si>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</si>
  <si>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</si>
  <si>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</si>
  <si>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</si>
  <si>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</si>
  <si>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</si>
  <si>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</si>
  <si>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</si>
  <si>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</si>
  <si>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</si>
  <si>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</si>
  <si>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</si>
  <si>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</si>
  <si>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</si>
  <si>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</si>
  <si>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</si>
  <si>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</si>
  <si>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</si>
  <si>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</si>
  <si>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</si>
  <si>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</si>
  <si>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</si>
  <si>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</si>
  <si>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</si>
  <si>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</si>
  <si>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</si>
  <si>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</si>
  <si>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</si>
  <si>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</si>
  <si>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</si>
  <si>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</si>
  <si>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</si>
  <si>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</si>
  <si>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</si>
  <si>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</si>
  <si>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</si>
  <si>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</si>
  <si>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</si>
  <si>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</si>
  <si>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</si>
  <si>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</si>
  <si>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</si>
  <si>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</si>
  <si>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</si>
  <si>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</si>
  <si>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</si>
  <si>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</si>
  <si>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</si>
  <si>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</si>
  <si>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</si>
  <si>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</si>
  <si>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</si>
  <si>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</si>
  <si>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</si>
  <si>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</si>
  <si>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</si>
  <si>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</si>
  <si>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</si>
  <si>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</si>
  <si>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</si>
  <si>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</si>
  <si>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</si>
  <si>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</si>
  <si>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</si>
  <si>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</si>
  <si>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</si>
  <si>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</si>
  <si>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</si>
  <si>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</si>
  <si>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</si>
  <si>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</si>
  <si>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</si>
  <si>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</si>
  <si>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</si>
  <si>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</si>
  <si>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</si>
  <si>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</si>
  <si>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</si>
  <si>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</si>
  <si>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</si>
  <si>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</si>
  <si>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</si>
  <si>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</si>
  <si>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</si>
  <si>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</si>
  <si>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</si>
  <si>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</si>
  <si>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</si>
  <si>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</si>
  <si>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</si>
  <si>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</si>
  <si>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</si>
  <si>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</si>
  <si>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</si>
  <si>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</si>
  <si>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</si>
  <si>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</si>
  <si>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</si>
  <si>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</si>
  <si>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</si>
  <si>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</si>
  <si>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</si>
  <si>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</si>
  <si>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</si>
  <si>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</si>
  <si>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</si>
  <si>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</si>
  <si>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</si>
  <si>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</si>
  <si>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</si>
  <si>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</si>
  <si>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</si>
  <si>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</si>
  <si>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</si>
  <si>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</si>
  <si>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</si>
  <si>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</si>
  <si>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</si>
  <si>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</si>
  <si>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</si>
  <si>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</si>
  <si>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</si>
  <si>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</si>
  <si>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</si>
  <si>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</si>
  <si>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</si>
  <si>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</si>
  <si>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</si>
  <si>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</si>
  <si>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</si>
  <si>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</si>
  <si>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</si>
  <si>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</si>
  <si>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</si>
  <si>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</si>
  <si>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</si>
  <si>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</si>
  <si>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</si>
  <si>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</si>
  <si>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</si>
  <si>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</si>
  <si>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</si>
  <si>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</si>
  <si>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</si>
  <si>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</si>
  <si>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</si>
  <si>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</si>
  <si>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</si>
  <si>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</si>
  <si>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</si>
  <si>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</si>
  <si>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</si>
  <si>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</si>
  <si>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</si>
  <si>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</si>
  <si>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</si>
  <si>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</si>
  <si>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</si>
  <si>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</si>
  <si>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</si>
  <si>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</si>
  <si>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</si>
  <si>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</si>
  <si>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</si>
  <si>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</si>
  <si>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</si>
  <si>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</si>
  <si>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</si>
  <si>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</si>
  <si>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</si>
  <si>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</si>
  <si>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</si>
  <si>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</si>
  <si>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</si>
  <si>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</si>
  <si>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</si>
  <si>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</si>
  <si>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</si>
  <si>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</si>
  <si>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</si>
  <si>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</si>
  <si>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</si>
  <si>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</si>
  <si>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</si>
  <si>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</si>
  <si>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</si>
  <si>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</si>
  <si>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</si>
  <si>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</si>
  <si>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</si>
  <si>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</si>
  <si>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</si>
  <si>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</si>
  <si>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</si>
  <si>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</si>
  <si>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</si>
  <si>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</si>
  <si>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</si>
  <si>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</si>
  <si>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</si>
  <si>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</si>
  <si>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</si>
  <si>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</si>
  <si>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</si>
  <si>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</si>
  <si>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</si>
  <si>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</si>
  <si>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</si>
  <si>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</si>
  <si>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</si>
  <si>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</si>
  <si>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</si>
  <si>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</si>
  <si>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</si>
  <si>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</si>
  <si>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</si>
  <si>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</si>
  <si>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</si>
  <si>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</si>
  <si>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</si>
  <si>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</si>
  <si>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</si>
  <si>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</si>
  <si>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</si>
  <si>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</si>
  <si>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</si>
  <si>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</si>
  <si>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</si>
  <si>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</si>
  <si>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</si>
  <si>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</si>
  <si>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</si>
  <si>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</si>
  <si>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</si>
  <si>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</si>
  <si>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</si>
  <si>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</si>
  <si>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</si>
  <si>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</si>
  <si>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</si>
  <si>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</si>
  <si>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</si>
  <si>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</si>
  <si>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</si>
  <si>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</si>
  <si>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</si>
  <si>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</si>
  <si>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</si>
  <si>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</si>
  <si>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</si>
  <si>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</si>
  <si>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</si>
  <si>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</si>
  <si>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</si>
  <si>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</si>
  <si>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</si>
  <si>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</si>
  <si>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</si>
  <si>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</si>
  <si>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</si>
  <si>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</si>
  <si>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</si>
  <si>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</si>
  <si>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</si>
  <si>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</si>
  <si>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</si>
  <si>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</si>
  <si>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</si>
  <si>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</si>
  <si>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</si>
  <si>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</si>
  <si>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</si>
  <si>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</si>
  <si>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</si>
  <si>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</si>
  <si>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</si>
  <si>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</si>
  <si>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</si>
  <si>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</si>
  <si>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</si>
  <si>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</si>
  <si>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</si>
  <si>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</si>
  <si>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</si>
  <si>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</si>
  <si>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</si>
  <si>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</si>
  <si>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</si>
  <si>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</si>
  <si>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</si>
  <si>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</si>
  <si>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</si>
  <si>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</si>
  <si>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</si>
  <si>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</si>
  <si>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</si>
  <si>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</si>
  <si>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</si>
  <si>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</si>
  <si>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</si>
  <si>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</si>
  <si>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</si>
  <si>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</si>
  <si>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</si>
  <si>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</si>
  <si>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</si>
  <si>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</si>
  <si>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</si>
  <si>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</si>
  <si>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</si>
  <si>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</si>
  <si>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</si>
  <si>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</si>
  <si>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</si>
  <si>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</si>
  <si>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</si>
  <si>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</si>
  <si>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</si>
  <si>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</si>
  <si>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</si>
  <si>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</si>
  <si>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</si>
  <si>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</si>
  <si>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</si>
  <si>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</si>
  <si>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</si>
  <si>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</si>
  <si>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</si>
  <si>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</si>
  <si>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</si>
  <si>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</si>
  <si>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</si>
  <si>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</si>
  <si>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</si>
  <si>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</si>
  <si>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</si>
  <si>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</si>
  <si>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</si>
  <si>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</si>
  <si>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</si>
  <si>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</si>
  <si>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</si>
  <si>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</si>
  <si>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</si>
  <si>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</si>
  <si>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</si>
  <si>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</si>
  <si>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</si>
  <si>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</si>
  <si>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</si>
  <si>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</si>
  <si>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</si>
  <si>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</si>
  <si>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</si>
  <si>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</si>
  <si>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</si>
  <si>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</si>
  <si>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</si>
  <si>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</si>
  <si>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</si>
  <si>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</si>
  <si>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</si>
  <si>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</si>
  <si>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</si>
  <si>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</si>
  <si>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</si>
  <si>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</si>
  <si>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</si>
  <si>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</si>
  <si>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</si>
  <si>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</si>
  <si>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</si>
  <si>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</si>
  <si>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</si>
  <si>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</si>
  <si>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</si>
  <si>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</si>
  <si>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</si>
  <si>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</si>
  <si>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</si>
  <si>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</si>
  <si>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</si>
  <si>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</si>
  <si>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</si>
  <si>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</si>
  <si>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</si>
  <si>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</si>
  <si>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</si>
  <si>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</si>
  <si>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</si>
  <si>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</si>
  <si>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</si>
  <si>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</si>
  <si>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</si>
  <si>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</si>
  <si>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</si>
  <si>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</si>
  <si>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</si>
  <si>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</si>
  <si>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</si>
  <si>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</si>
  <si>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</si>
  <si>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</si>
  <si>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</si>
  <si>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</si>
  <si>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</si>
  <si>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</si>
  <si>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</si>
  <si>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</si>
  <si>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</si>
  <si>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</si>
  <si>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</si>
  <si>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</si>
  <si>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</si>
  <si>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</si>
  <si>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</si>
  <si>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</si>
  <si>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</si>
  <si>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</si>
  <si>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</si>
  <si>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</si>
  <si>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</si>
  <si>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</si>
  <si>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</si>
  <si>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</si>
  <si>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</si>
  <si>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</si>
  <si>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</si>
  <si>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</si>
  <si>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</si>
  <si>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</si>
  <si>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</si>
  <si>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</si>
  <si>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</si>
  <si>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</si>
  <si>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</si>
  <si>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</si>
  <si>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</si>
  <si>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</si>
  <si>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</si>
  <si>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</si>
  <si>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</si>
  <si>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</si>
  <si>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</si>
  <si>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</si>
  <si>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</si>
  <si>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</si>
  <si>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</si>
  <si>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</si>
  <si>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</si>
  <si>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</si>
  <si>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</si>
  <si>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</si>
  <si>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</si>
  <si>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</si>
  <si>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</si>
  <si>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</si>
  <si>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</si>
  <si>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</si>
  <si>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</si>
  <si>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</si>
  <si>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</si>
  <si>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</si>
  <si>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</si>
  <si>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</si>
  <si>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</si>
  <si>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</si>
  <si>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</si>
  <si>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</si>
  <si>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</si>
  <si>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</si>
  <si>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</si>
  <si>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</si>
  <si>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</si>
  <si>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</si>
  <si>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</si>
  <si>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</si>
  <si>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</si>
  <si>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</si>
  <si>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</si>
  <si>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</si>
  <si>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</si>
  <si>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</si>
  <si>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</si>
  <si>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</si>
  <si>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</si>
  <si>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</si>
  <si>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</si>
  <si>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</si>
  <si>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</si>
  <si>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</si>
  <si>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</si>
  <si>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</si>
  <si>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</si>
  <si>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</si>
  <si>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</si>
  <si>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</si>
  <si>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</si>
  <si>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</si>
  <si>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</si>
  <si>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</si>
  <si>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</si>
  <si>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</si>
  <si>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</si>
  <si>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</si>
  <si>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</si>
  <si>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</si>
  <si>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</si>
  <si>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</si>
  <si>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</si>
  <si>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</si>
  <si>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</si>
  <si>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</si>
  <si>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</si>
  <si>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</si>
  <si>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</si>
  <si>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</si>
  <si>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</si>
  <si>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</si>
  <si>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</si>
  <si>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</si>
  <si>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</si>
  <si>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</si>
  <si>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</si>
  <si>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</si>
  <si>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</si>
  <si>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</si>
  <si>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</si>
  <si>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</si>
  <si>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</si>
  <si>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</si>
  <si>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</si>
  <si>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</si>
  <si>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</si>
  <si>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</si>
  <si>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</si>
  <si>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</si>
  <si>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</si>
  <si>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</si>
  <si>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</si>
  <si>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</si>
  <si>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</si>
  <si>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</si>
  <si>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</si>
  <si>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</si>
  <si>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</si>
  <si>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</si>
  <si>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</si>
  <si>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</si>
  <si>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</si>
  <si>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</si>
  <si>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</si>
  <si>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</si>
  <si>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</si>
  <si>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</si>
  <si>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</si>
  <si>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</si>
  <si>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</si>
  <si>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</si>
  <si>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</si>
  <si>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</si>
  <si>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</si>
  <si>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</si>
  <si>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</si>
  <si>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</si>
  <si>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</si>
  <si>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</si>
  <si>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</si>
  <si>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</si>
  <si>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</si>
  <si>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</si>
  <si>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</si>
  <si>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</si>
  <si>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</si>
  <si>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</si>
  <si>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</si>
  <si>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</si>
  <si>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</si>
  <si>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</si>
  <si>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</si>
  <si>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</si>
  <si>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</si>
  <si>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</si>
  <si>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</si>
  <si>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</si>
  <si>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</si>
  <si>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</si>
  <si>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</si>
  <si>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</si>
  <si>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</si>
  <si>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</si>
  <si>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</si>
  <si>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</si>
  <si>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</si>
  <si>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</si>
  <si>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</si>
  <si>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</si>
  <si>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</si>
  <si>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</si>
  <si>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</si>
  <si>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</si>
  <si>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</si>
  <si>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</si>
  <si>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</si>
  <si>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</si>
  <si>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</si>
  <si>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</si>
  <si>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</si>
  <si>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</si>
  <si>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</si>
  <si>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</si>
  <si>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</si>
  <si>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</si>
  <si>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</si>
  <si>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</si>
  <si>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</si>
  <si>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</si>
  <si>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</si>
  <si>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</si>
  <si>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</si>
  <si>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</si>
  <si>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</si>
  <si>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</si>
  <si>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</si>
  <si>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</si>
  <si>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</si>
  <si>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</si>
  <si>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</si>
  <si>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</si>
  <si>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</si>
  <si>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</si>
  <si>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</si>
  <si>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</si>
  <si>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</si>
  <si>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</si>
  <si>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</si>
  <si>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</si>
  <si>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</si>
  <si>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</si>
  <si>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</si>
  <si>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</si>
  <si>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</si>
  <si>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</si>
  <si>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</si>
  <si>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</si>
  <si>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</si>
  <si>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</si>
  <si>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</si>
  <si>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</si>
  <si>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</si>
  <si>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</si>
  <si>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</si>
  <si>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</si>
  <si>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</si>
  <si>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</si>
  <si>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</si>
  <si>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</si>
  <si>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</si>
  <si>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</si>
  <si>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</si>
  <si>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</si>
  <si>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</si>
  <si>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</si>
  <si>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</si>
  <si>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</si>
  <si>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</si>
  <si>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</si>
  <si>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</si>
  <si>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</si>
  <si>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</si>
  <si>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</si>
  <si>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</si>
  <si>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</si>
  <si>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</si>
  <si>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</si>
  <si>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</si>
  <si>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</si>
  <si>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</si>
  <si>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</si>
  <si>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</si>
  <si>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</si>
  <si>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</si>
  <si>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</si>
  <si>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</si>
  <si>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</si>
  <si>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</si>
  <si>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</si>
  <si>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</si>
  <si>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</si>
  <si>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</si>
  <si>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</si>
  <si>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</si>
  <si>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</si>
  <si>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</si>
  <si>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</si>
  <si>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</si>
  <si>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</si>
  <si>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</si>
  <si>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</si>
  <si>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</si>
  <si>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</si>
  <si>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</si>
  <si>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</si>
  <si>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</si>
  <si>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</si>
  <si>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</si>
  <si>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</si>
  <si>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</si>
  <si>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</si>
  <si>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</si>
  <si>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</si>
  <si>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</si>
  <si>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</si>
  <si>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</si>
  <si>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</si>
  <si>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</si>
  <si>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</si>
  <si>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</si>
  <si>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</si>
  <si>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</si>
  <si>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</si>
  <si>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</si>
  <si>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</si>
  <si>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</si>
  <si>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</si>
  <si>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</si>
  <si>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</si>
  <si>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</si>
  <si>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</si>
  <si>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</si>
  <si>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</si>
  <si>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</si>
  <si>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</si>
  <si>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</si>
  <si>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</si>
  <si>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</si>
  <si>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</si>
  <si>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</si>
  <si>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</si>
  <si>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</si>
  <si>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</si>
  <si>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</si>
  <si>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</si>
  <si>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</si>
  <si>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</si>
  <si>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</si>
  <si>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</si>
  <si>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</si>
  <si>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</si>
  <si>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</si>
  <si>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</si>
  <si>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</si>
  <si>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</si>
  <si>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</si>
  <si>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</si>
  <si>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</si>
  <si>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</si>
  <si>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</si>
  <si>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</si>
  <si>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</si>
  <si>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</si>
  <si>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</si>
  <si>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</si>
  <si>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</si>
  <si>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</si>
  <si>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</si>
  <si>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</si>
  <si>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</si>
  <si>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</si>
  <si>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</si>
  <si>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</si>
  <si>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</si>
  <si>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</si>
  <si>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</si>
  <si>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</si>
  <si>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</si>
  <si>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</si>
  <si>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</si>
  <si>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</si>
  <si>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</si>
  <si>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</si>
  <si>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</si>
  <si>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</si>
  <si>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</si>
  <si>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</si>
  <si>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</si>
  <si>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</si>
  <si>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</si>
  <si>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</si>
  <si>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</si>
  <si>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</si>
  <si>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</si>
  <si>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</si>
  <si>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</si>
  <si>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</si>
  <si>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</si>
  <si>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</si>
  <si>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</si>
  <si>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</si>
  <si>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</si>
  <si>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</si>
  <si>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</si>
  <si>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</si>
  <si>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</si>
  <si>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</si>
  <si>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</si>
  <si>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</si>
  <si>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</si>
  <si>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</si>
  <si>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</si>
  <si>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</si>
  <si>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</si>
  <si>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</si>
  <si>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</si>
  <si>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</si>
  <si>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</si>
  <si>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</si>
  <si>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</si>
  <si>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</si>
  <si>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</si>
  <si>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</si>
  <si>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</si>
  <si>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</si>
  <si>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</si>
  <si>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</si>
  <si>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</si>
  <si>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</si>
  <si>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</si>
  <si>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</si>
  <si>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</si>
  <si>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</si>
  <si>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</si>
  <si>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</si>
  <si>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</si>
  <si>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</si>
  <si>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</si>
  <si>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</si>
  <si>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</si>
  <si>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</si>
  <si>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</si>
  <si>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</si>
  <si>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</si>
  <si>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</si>
  <si>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</si>
  <si>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</si>
  <si>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</si>
  <si>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</si>
  <si>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</si>
  <si>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</si>
  <si>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</si>
  <si>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</si>
  <si>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</si>
  <si>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</si>
  <si>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</si>
  <si>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</si>
  <si>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</si>
  <si>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</si>
  <si>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</si>
  <si>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</si>
  <si>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</si>
  <si>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</si>
  <si>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</si>
  <si>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</si>
  <si>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</si>
  <si>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</si>
  <si>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</si>
  <si>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</si>
  <si>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</si>
  <si>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</si>
  <si>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</si>
  <si>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</si>
  <si>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</si>
  <si>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</si>
  <si>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</si>
  <si>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</si>
  <si>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</si>
  <si>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</si>
  <si>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</si>
  <si>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</si>
  <si>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</si>
  <si>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</si>
  <si>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</si>
  <si>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</si>
  <si>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</si>
  <si>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</si>
  <si>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</si>
  <si>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</si>
  <si>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</si>
  <si>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</si>
  <si>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</si>
  <si>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</si>
  <si>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</si>
  <si>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</si>
  <si>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</si>
  <si>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</si>
  <si>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</si>
  <si>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</si>
  <si>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</si>
  <si>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</si>
  <si>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</si>
  <si>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</si>
  <si>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</si>
  <si>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</si>
  <si>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</si>
  <si>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</si>
  <si>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</si>
  <si>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</si>
  <si>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</si>
  <si>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</si>
  <si>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</si>
  <si>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</si>
  <si>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</si>
  <si>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</si>
  <si>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</si>
  <si>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</si>
  <si>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</si>
  <si>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</si>
  <si>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</si>
  <si>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</si>
  <si>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</si>
  <si>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</si>
  <si>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</si>
  <si>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</si>
  <si>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</si>
  <si>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</si>
  <si>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</si>
  <si>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</si>
  <si>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</si>
  <si>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</si>
  <si>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</si>
  <si>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</si>
  <si>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</si>
  <si>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</si>
  <si>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</si>
  <si>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</si>
  <si>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</si>
  <si>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</si>
  <si>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</si>
  <si>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</si>
  <si>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</si>
  <si>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</si>
  <si>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</si>
  <si>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</si>
  <si>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</si>
  <si>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</si>
  <si>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</si>
  <si>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</si>
  <si>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</si>
  <si>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</si>
  <si>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</si>
  <si>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</si>
  <si>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</si>
  <si>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</si>
  <si>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</si>
  <si>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</si>
  <si>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</si>
  <si>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</si>
  <si>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</si>
  <si>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</si>
  <si>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</si>
  <si>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</si>
  <si>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</si>
  <si>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</si>
  <si>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</si>
  <si>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</si>
  <si>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</si>
  <si>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</si>
  <si>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</si>
  <si>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</si>
  <si>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</si>
  <si>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</si>
  <si>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</si>
  <si>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</si>
  <si>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</si>
  <si>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</si>
  <si>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</si>
  <si>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</si>
  <si>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</si>
  <si>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</si>
  <si>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</si>
  <si>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</si>
  <si>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</si>
  <si>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</si>
  <si>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</si>
  <si>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</si>
  <si>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</si>
  <si>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</si>
  <si>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</si>
  <si>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</si>
  <si>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</si>
  <si>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</si>
  <si>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</si>
  <si>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</si>
  <si>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</si>
  <si>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</si>
  <si>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</si>
  <si>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</si>
  <si>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</si>
  <si>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</si>
  <si>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</si>
  <si>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</si>
  <si>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</si>
  <si>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</si>
  <si>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</si>
  <si>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</si>
  <si>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</si>
  <si>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</si>
  <si>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</si>
  <si>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</si>
  <si>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</si>
  <si>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</si>
  <si>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</si>
  <si>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</si>
  <si>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</si>
  <si>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</si>
  <si>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</si>
  <si>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</si>
  <si>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</si>
  <si>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</si>
  <si>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</si>
  <si>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</si>
  <si>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</si>
  <si>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</si>
  <si>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</si>
  <si>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</si>
  <si>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</si>
  <si>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</si>
  <si>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</si>
  <si>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</si>
  <si>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</si>
  <si>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</si>
  <si>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</si>
  <si>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</si>
  <si>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</si>
  <si>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</si>
  <si>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</si>
  <si>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</si>
  <si>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</si>
  <si>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</si>
  <si>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</si>
  <si>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</si>
  <si>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</si>
  <si>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</si>
  <si>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</si>
  <si>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</si>
  <si>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</si>
  <si>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</si>
  <si>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</si>
  <si>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</si>
  <si>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</si>
  <si>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</si>
  <si>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</si>
  <si>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</si>
  <si>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</si>
  <si>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</si>
  <si>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</si>
  <si>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</si>
  <si>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</si>
  <si>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</si>
  <si>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</si>
  <si>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</si>
  <si>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</si>
  <si>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</si>
  <si>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</si>
  <si>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</si>
  <si>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</si>
  <si>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</si>
  <si>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</si>
  <si>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</si>
  <si>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</si>
  <si>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</si>
  <si>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</si>
  <si>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</si>
  <si>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</si>
  <si>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</si>
  <si>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</si>
  <si>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</si>
  <si>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</si>
  <si>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</si>
  <si>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</si>
  <si>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</si>
  <si>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</si>
  <si>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</si>
  <si>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</si>
  <si>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</si>
  <si>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</si>
  <si>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</si>
  <si>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</si>
  <si>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</si>
  <si>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</si>
  <si>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</si>
  <si>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</si>
  <si>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</si>
  <si>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</si>
  <si>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</si>
  <si>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</si>
  <si>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</si>
  <si>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</si>
  <si>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</si>
  <si>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</si>
  <si>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</si>
  <si>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</si>
  <si>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</si>
  <si>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</si>
  <si>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</si>
  <si>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</si>
  <si>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</si>
  <si>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</si>
  <si>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</si>
  <si>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</si>
  <si>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</si>
  <si>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</si>
  <si>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</si>
  <si>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</si>
  <si>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</si>
  <si>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</si>
  <si>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</si>
  <si>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</si>
  <si>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</si>
  <si>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</si>
  <si>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</si>
  <si>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</si>
  <si>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</si>
  <si>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</si>
  <si>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</si>
  <si>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</si>
  <si>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</si>
  <si>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</si>
  <si>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</si>
  <si>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</si>
  <si>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</si>
  <si>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</si>
  <si>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</si>
  <si>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</si>
  <si>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</si>
  <si>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</si>
  <si>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</si>
  <si>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</si>
  <si>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</si>
  <si>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</si>
  <si>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</si>
  <si>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</si>
  <si>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</si>
  <si>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</si>
  <si>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</si>
  <si>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</si>
  <si>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</si>
  <si>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</si>
  <si>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</si>
  <si>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</si>
  <si>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</si>
  <si>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</si>
  <si>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</si>
  <si>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</si>
  <si>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</si>
  <si>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</si>
  <si>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</si>
  <si>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</si>
  <si>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</si>
  <si>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</si>
  <si>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</si>
  <si>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</si>
  <si>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</si>
  <si>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</si>
  <si>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</si>
  <si>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</si>
  <si>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</si>
  <si>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</si>
  <si>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</si>
  <si>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</si>
  <si>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</si>
  <si>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</si>
  <si>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</si>
  <si>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</si>
  <si>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</si>
  <si>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</si>
  <si>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</si>
  <si>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</si>
  <si>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</si>
  <si>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</si>
  <si>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</si>
  <si>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</si>
  <si>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</si>
  <si>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</si>
  <si>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</si>
  <si>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</si>
  <si>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</si>
  <si>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</si>
  <si>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</si>
  <si>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</si>
  <si>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</si>
  <si>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</si>
  <si>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</si>
  <si>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</si>
  <si>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</si>
  <si>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</si>
  <si>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</si>
  <si>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</si>
  <si>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</si>
  <si>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</si>
  <si>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</si>
  <si>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</si>
  <si>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</si>
  <si>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</si>
  <si>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</si>
  <si>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</si>
  <si>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</si>
  <si>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</si>
  <si>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</si>
  <si>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</si>
  <si>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</si>
  <si>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</si>
  <si>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</si>
  <si>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</si>
  <si>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</si>
  <si>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</si>
  <si>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</si>
  <si>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</si>
  <si>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</si>
  <si>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</si>
  <si>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</si>
  <si>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</si>
  <si>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</si>
  <si>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</si>
  <si>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</si>
  <si>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</si>
  <si>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</si>
  <si>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</si>
  <si>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</si>
  <si>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</si>
  <si>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</si>
  <si>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</si>
  <si>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</si>
  <si>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</si>
  <si>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</si>
  <si>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</si>
  <si>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</si>
  <si>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</si>
  <si>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</si>
  <si>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</si>
  <si>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</si>
  <si>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</si>
  <si>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</si>
  <si>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</si>
  <si>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</si>
  <si>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</si>
  <si>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</si>
  <si>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</si>
  <si>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</si>
  <si>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</si>
  <si>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</si>
  <si>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</si>
  <si>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</si>
  <si>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</si>
  <si>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</si>
  <si>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</si>
  <si>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</si>
  <si>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</si>
  <si>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</si>
  <si>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</si>
  <si>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</si>
  <si>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</si>
  <si>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</si>
  <si>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</si>
  <si>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</si>
  <si>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</si>
  <si>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</si>
  <si>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</si>
  <si>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</si>
  <si>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</si>
  <si>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</si>
  <si>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</si>
  <si>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</si>
  <si>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</si>
  <si>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</si>
  <si>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</si>
  <si>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</si>
  <si>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</si>
  <si>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</si>
  <si>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</si>
  <si>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</si>
  <si>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</si>
  <si>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</si>
  <si>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</si>
  <si>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</si>
  <si>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</si>
  <si>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</si>
  <si>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</si>
  <si>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</si>
  <si>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</si>
  <si>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</si>
  <si>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</si>
  <si>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</si>
  <si>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</si>
  <si>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</si>
  <si>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</si>
  <si>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</si>
  <si>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</si>
  <si>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</si>
  <si>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</si>
  <si>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</si>
  <si>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</si>
  <si>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</si>
  <si>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</si>
  <si>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</si>
  <si>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</si>
  <si>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</si>
  <si>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</si>
  <si>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</si>
  <si>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</si>
  <si>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</si>
  <si>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</si>
  <si>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</si>
  <si>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</si>
  <si>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</si>
  <si>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</si>
  <si>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</si>
  <si>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</si>
  <si>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</si>
  <si>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</si>
  <si>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</si>
  <si>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</si>
  <si>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</si>
  <si>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</si>
  <si>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</si>
  <si>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</si>
  <si>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</si>
  <si>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</si>
  <si>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</si>
  <si>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</si>
  <si>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</si>
  <si>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</si>
  <si>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</si>
  <si>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</si>
  <si>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</si>
  <si>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</si>
  <si>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</si>
  <si>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</si>
  <si>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</si>
  <si>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</si>
  <si>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</si>
  <si>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</si>
  <si>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</si>
  <si>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</si>
  <si>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</si>
  <si>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</si>
  <si>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</si>
  <si>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</si>
  <si>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</si>
  <si>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</si>
  <si>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</si>
  <si>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</si>
  <si>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</si>
  <si>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</si>
  <si>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</si>
  <si>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</si>
  <si>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</si>
  <si>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</si>
  <si>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</si>
  <si>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</si>
  <si>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</si>
  <si>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</si>
  <si>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</si>
  <si>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</si>
  <si>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</si>
  <si>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</si>
  <si>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</si>
  <si>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</si>
  <si>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</si>
  <si>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</si>
  <si>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</si>
  <si>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</si>
  <si>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</si>
  <si>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</si>
  <si>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</si>
  <si>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</si>
  <si>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</si>
  <si>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</si>
  <si>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</si>
  <si>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</si>
  <si>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</si>
  <si>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</si>
  <si>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</si>
  <si>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</si>
  <si>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</si>
  <si>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</si>
  <si>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</si>
  <si>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</si>
  <si>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</si>
  <si>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</si>
  <si>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</si>
  <si>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</si>
  <si>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</si>
  <si>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</si>
  <si>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</si>
  <si>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</si>
  <si>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</si>
  <si>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</si>
  <si>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</si>
  <si>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</si>
  <si>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</si>
  <si>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</si>
  <si>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</si>
  <si>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</si>
  <si>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</si>
  <si>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</si>
  <si>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</si>
  <si>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</si>
  <si>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</si>
  <si>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</si>
  <si>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</si>
  <si>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</si>
  <si>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</si>
  <si>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</si>
  <si>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</si>
  <si>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</si>
  <si>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</si>
  <si>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</si>
  <si>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</si>
  <si>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</si>
  <si>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</si>
  <si>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</si>
  <si>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</si>
  <si>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</si>
  <si>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</si>
  <si>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</si>
  <si>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</si>
  <si>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</si>
  <si>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</si>
  <si>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</si>
  <si>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</si>
  <si>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</si>
  <si>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</si>
  <si>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</si>
  <si>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</si>
  <si>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</si>
  <si>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</si>
  <si>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</si>
  <si>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</si>
  <si>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</si>
  <si>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</si>
  <si>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</si>
  <si>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</si>
  <si>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</si>
  <si>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</si>
  <si>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</si>
  <si>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</si>
  <si>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</si>
  <si>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</si>
  <si>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</si>
  <si>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</si>
  <si>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</si>
  <si>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</si>
  <si>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</si>
  <si>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</si>
  <si>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</si>
  <si>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</si>
  <si>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</si>
  <si>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</si>
  <si>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</si>
  <si>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</si>
  <si>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</si>
  <si>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</si>
  <si>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</si>
  <si>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</si>
  <si>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</si>
  <si>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</si>
  <si>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</si>
  <si>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</si>
  <si>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</si>
  <si>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</si>
  <si>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</si>
  <si>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</si>
  <si>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</si>
  <si>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</si>
  <si>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</si>
  <si>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</si>
  <si>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</si>
  <si>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</si>
  <si>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</si>
  <si>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</si>
  <si>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</si>
  <si>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</si>
  <si>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</si>
  <si>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</si>
  <si>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</si>
  <si>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</si>
  <si>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</si>
  <si>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</si>
  <si>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</si>
  <si>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</si>
  <si>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</si>
  <si>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</si>
  <si>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</si>
  <si>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</si>
  <si>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</si>
  <si>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</si>
  <si>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</si>
  <si>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</si>
  <si>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</si>
  <si>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</si>
  <si>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</si>
  <si>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</si>
  <si>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</si>
  <si>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</si>
  <si>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</si>
  <si>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</si>
  <si>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</si>
  <si>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</si>
  <si>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</si>
  <si>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</si>
  <si>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</si>
  <si>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</si>
  <si>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</si>
  <si>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</si>
  <si>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</si>
  <si>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</si>
  <si>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</si>
  <si>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</si>
  <si>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</si>
  <si>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</si>
  <si>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</si>
  <si>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</si>
  <si>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</si>
  <si>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</si>
  <si>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</si>
  <si>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</si>
  <si>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</si>
  <si>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</si>
  <si>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</si>
  <si>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</si>
  <si>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</si>
  <si>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</si>
  <si>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</si>
  <si>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</si>
  <si>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</si>
  <si>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</si>
  <si>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</si>
  <si>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</si>
  <si>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</si>
  <si>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</si>
  <si>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</si>
  <si>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</si>
  <si>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</si>
  <si>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</si>
  <si>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</si>
  <si>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</si>
  <si>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</si>
  <si>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</si>
  <si>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</si>
  <si>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</si>
  <si>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</si>
  <si>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</si>
  <si>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</si>
  <si>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</si>
  <si>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</si>
  <si>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</si>
  <si>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</si>
  <si>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</si>
  <si>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</si>
  <si>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</si>
  <si>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</si>
  <si>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</si>
  <si>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</si>
  <si>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</si>
  <si>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</si>
  <si>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</si>
  <si>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</si>
  <si>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</si>
  <si>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</si>
  <si>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</si>
  <si>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</si>
  <si>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</si>
  <si>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</si>
  <si>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</si>
  <si>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</si>
  <si>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</si>
  <si>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</si>
  <si>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</si>
  <si>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</si>
  <si>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</si>
  <si>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</si>
  <si>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</si>
  <si>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</si>
  <si>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</si>
  <si>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</si>
  <si>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</si>
  <si>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</si>
  <si>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</si>
  <si>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</si>
  <si>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</si>
  <si>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</si>
  <si>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</si>
  <si>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</si>
  <si>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</si>
  <si>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</si>
  <si>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</si>
  <si>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</si>
  <si>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</si>
  <si>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</si>
  <si>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</si>
  <si>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</si>
  <si>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</si>
  <si>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</si>
  <si>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</si>
  <si>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</si>
  <si>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</si>
  <si>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</si>
  <si>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</si>
  <si>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</si>
  <si>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</si>
  <si>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</si>
  <si>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</si>
  <si>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</si>
  <si>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</si>
  <si>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</si>
  <si>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</si>
  <si>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</si>
  <si>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</si>
  <si>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</si>
  <si>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</si>
  <si>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</si>
  <si>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</si>
  <si>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</si>
  <si>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</si>
  <si>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</si>
  <si>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</si>
  <si>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</si>
  <si>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</si>
  <si>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</si>
  <si>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</si>
  <si>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</si>
  <si>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</si>
  <si>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</si>
  <si>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</si>
  <si>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</si>
  <si>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</si>
  <si>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</si>
  <si>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</si>
  <si>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</si>
  <si>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</si>
  <si>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</si>
  <si>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</si>
  <si>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</si>
  <si>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</si>
  <si>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</si>
  <si>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</si>
  <si>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</si>
  <si>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</si>
  <si>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</si>
  <si>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</si>
  <si>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</si>
  <si>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</si>
  <si>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</si>
  <si>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</si>
  <si>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</si>
  <si>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</si>
  <si>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</si>
  <si>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</si>
  <si>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</si>
  <si>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</si>
  <si>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</si>
  <si>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</si>
  <si>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</si>
  <si>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</si>
  <si>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</si>
  <si>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</si>
  <si>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</si>
  <si>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</si>
  <si>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</si>
  <si>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</si>
  <si>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</si>
  <si>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</si>
  <si>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</si>
  <si>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</si>
  <si>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</si>
  <si>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</si>
  <si>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</si>
  <si>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</si>
  <si>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</si>
  <si>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</si>
  <si>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</si>
  <si>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</si>
  <si>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</si>
  <si>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</si>
  <si>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</si>
  <si>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</si>
  <si>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</si>
  <si>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</si>
  <si>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</si>
  <si>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</si>
  <si>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</si>
  <si>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</si>
  <si>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</si>
  <si>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</si>
  <si>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</si>
  <si>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</si>
  <si>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</si>
  <si>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</si>
  <si>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</si>
  <si>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</si>
  <si>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</si>
  <si>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</si>
  <si>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</si>
  <si>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</si>
  <si>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</si>
  <si>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</si>
  <si>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</si>
  <si>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</si>
  <si>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</si>
  <si>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</si>
  <si>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</si>
  <si>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</si>
  <si>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</si>
  <si>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</si>
  <si>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</si>
  <si>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</si>
  <si>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</si>
  <si>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</si>
  <si>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</si>
  <si>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</si>
  <si>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</si>
  <si>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</si>
  <si>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</si>
  <si>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</si>
  <si>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</si>
  <si>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</si>
  <si>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</si>
  <si>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</si>
  <si>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</si>
  <si>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</si>
  <si>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</si>
  <si>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</si>
  <si>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</si>
  <si>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</si>
  <si>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</si>
  <si>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</si>
  <si>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</si>
  <si>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</si>
  <si>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</si>
  <si>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</si>
  <si>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</si>
  <si>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</si>
  <si>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</si>
  <si>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</si>
  <si>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</si>
  <si>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</si>
  <si>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</si>
  <si>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</si>
  <si>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</si>
  <si>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</si>
  <si>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</si>
  <si>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</si>
  <si>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</si>
  <si>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</si>
  <si>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</si>
  <si>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</si>
  <si>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</si>
  <si>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</si>
  <si>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</si>
  <si>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</si>
  <si>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</si>
  <si>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</si>
  <si>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</si>
  <si>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</si>
  <si>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</si>
  <si>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</si>
  <si>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</si>
  <si>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</si>
  <si>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</si>
  <si>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</si>
  <si>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</si>
  <si>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</si>
  <si>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</si>
  <si>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</si>
  <si>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</si>
  <si>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</si>
  <si>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</si>
  <si>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</si>
  <si>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</si>
  <si>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</si>
  <si>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</si>
  <si>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</si>
  <si>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</si>
  <si>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</si>
  <si>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</si>
  <si>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</si>
  <si>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</si>
  <si>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</si>
  <si>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</si>
  <si>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</si>
  <si>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</si>
  <si>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</si>
  <si>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</si>
  <si>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</si>
  <si>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</si>
  <si>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</si>
  <si>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</si>
  <si>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</si>
  <si>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</si>
  <si>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</si>
  <si>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</si>
  <si>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</si>
  <si>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</si>
  <si>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</si>
  <si>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</si>
  <si>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</si>
  <si>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</si>
  <si>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</si>
  <si>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</si>
  <si>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</si>
  <si>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</si>
  <si>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</si>
  <si>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</si>
  <si>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</si>
  <si>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</si>
  <si>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</si>
  <si>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</si>
  <si>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</si>
  <si>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</si>
  <si>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</si>
  <si>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</si>
  <si>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</si>
  <si>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</si>
  <si>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</si>
  <si>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</si>
  <si>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</si>
  <si>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</si>
  <si>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</si>
  <si>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</si>
  <si>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</si>
  <si>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</si>
  <si>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</si>
  <si>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</si>
  <si>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</si>
  <si>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</si>
  <si>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</si>
  <si>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</si>
  <si>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</si>
  <si>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</si>
  <si>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</si>
  <si>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</si>
  <si>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</si>
  <si>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</si>
  <si>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</si>
  <si>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</si>
  <si>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</si>
  <si>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</si>
  <si>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</si>
  <si>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</si>
  <si>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</si>
  <si>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</si>
  <si>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</si>
  <si>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</si>
  <si>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</si>
  <si>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</si>
  <si>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</si>
  <si>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</si>
  <si>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</si>
  <si>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</si>
  <si>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</si>
  <si>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</si>
  <si>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</si>
  <si>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</si>
  <si>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</si>
  <si>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</si>
  <si>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</si>
  <si>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</si>
  <si>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</si>
  <si>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</si>
  <si>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</si>
  <si>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</si>
  <si>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</si>
  <si>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</si>
  <si>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</si>
  <si>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</si>
  <si>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</si>
  <si>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</si>
  <si>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</si>
  <si>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</si>
  <si>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</si>
  <si>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</si>
  <si>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</si>
  <si>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</si>
  <si>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</si>
  <si>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</si>
  <si>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</si>
  <si>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</si>
  <si>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</si>
  <si>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</si>
  <si>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</si>
  <si>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</si>
  <si>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</si>
  <si>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</si>
  <si>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</si>
  <si>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</si>
  <si>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</si>
  <si>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</si>
  <si>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</si>
  <si>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</si>
  <si>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</si>
  <si>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</si>
  <si>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</si>
  <si>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</si>
  <si>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</si>
  <si>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</si>
  <si>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</si>
  <si>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</si>
  <si>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</si>
  <si>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</si>
  <si>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</si>
  <si>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</si>
  <si>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</si>
  <si>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</si>
  <si>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</si>
  <si>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</si>
  <si>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</si>
  <si>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</si>
  <si>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</si>
  <si>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</si>
  <si>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</si>
  <si>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</si>
  <si>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</si>
  <si>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</si>
  <si>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</si>
  <si>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</si>
  <si>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</si>
  <si>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</si>
  <si>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</si>
  <si>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</si>
  <si>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</si>
  <si>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</si>
  <si>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</si>
  <si>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</si>
  <si>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</si>
  <si>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</si>
  <si>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</si>
  <si>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</si>
  <si>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</si>
  <si>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</si>
  <si>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</si>
  <si>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</si>
  <si>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</si>
  <si>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</si>
  <si>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</si>
  <si>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</si>
  <si>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</si>
  <si>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</si>
  <si>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</si>
  <si>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</si>
  <si>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</si>
  <si>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</si>
  <si>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</si>
  <si>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</si>
  <si>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</si>
  <si>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</si>
  <si>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</si>
  <si>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</si>
  <si>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</si>
  <si>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</si>
  <si>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</si>
  <si>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</si>
  <si>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</si>
  <si>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</si>
  <si>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</si>
  <si>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</si>
  <si>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</si>
  <si>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</si>
  <si>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</si>
  <si>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</si>
  <si>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</si>
  <si>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</si>
  <si>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</si>
  <si>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</si>
  <si>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</si>
  <si>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</si>
  <si>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</si>
  <si>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</si>
  <si>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</si>
  <si>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</si>
  <si>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</si>
  <si>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</si>
  <si>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</si>
  <si>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</si>
  <si>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</si>
  <si>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</si>
  <si>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</si>
  <si>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</si>
  <si>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</si>
  <si>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</si>
  <si>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</si>
  <si>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</si>
  <si>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</si>
  <si>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</si>
  <si>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</si>
  <si>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</si>
  <si>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</si>
  <si>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</si>
  <si>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</si>
  <si>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</si>
  <si>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</si>
  <si>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</si>
  <si>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</si>
  <si>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</si>
  <si>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</si>
  <si>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</si>
  <si>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</si>
  <si>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</si>
  <si>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</si>
  <si>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</si>
  <si>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</si>
  <si>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</si>
  <si>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</si>
  <si>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</si>
  <si>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</si>
  <si>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</si>
  <si>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</si>
  <si>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</si>
  <si>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</si>
  <si>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</si>
  <si>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</si>
  <si>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</si>
  <si>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</si>
  <si>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</si>
  <si>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</si>
  <si>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</si>
  <si>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</si>
  <si>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</si>
  <si>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</si>
  <si>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</si>
  <si>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</si>
  <si>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</si>
  <si>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</si>
  <si>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</si>
  <si>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</si>
  <si>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</si>
  <si>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</si>
  <si>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</si>
  <si>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</si>
  <si>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</si>
  <si>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</si>
  <si>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</si>
  <si>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</si>
  <si>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</si>
  <si>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</si>
  <si>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</si>
  <si>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</si>
  <si>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</si>
  <si>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</si>
  <si>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</si>
  <si>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</si>
  <si>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</si>
  <si>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</si>
  <si>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</si>
  <si>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</si>
  <si>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</si>
  <si>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</si>
  <si>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</si>
  <si>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</si>
  <si>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</si>
  <si>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</si>
  <si>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</si>
  <si>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</si>
  <si>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</si>
  <si>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</si>
  <si>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</si>
  <si>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</si>
  <si>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</si>
  <si>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</si>
  <si>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</si>
  <si>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</si>
  <si>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</si>
  <si>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</si>
  <si>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</si>
  <si>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</si>
  <si>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</si>
  <si>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</si>
  <si>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</si>
  <si>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</si>
  <si>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</si>
  <si>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</si>
  <si>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</si>
  <si>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</si>
  <si>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</si>
  <si>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</si>
  <si>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</si>
  <si>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</si>
  <si>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</si>
  <si>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</si>
  <si>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</si>
  <si>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</si>
  <si>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</si>
  <si>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</si>
  <si>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</si>
  <si>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</si>
  <si>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</si>
  <si>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</si>
  <si>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</si>
  <si>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</si>
  <si>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</si>
  <si>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</si>
  <si>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</si>
  <si>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</si>
  <si>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</si>
  <si>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</si>
  <si>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</si>
  <si>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</si>
  <si>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</si>
  <si>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</si>
  <si>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</si>
  <si>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</si>
  <si>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</si>
  <si>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</si>
  <si>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</si>
  <si>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</si>
  <si>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</si>
  <si>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</si>
  <si>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</si>
  <si>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</si>
  <si>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</si>
  <si>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</si>
  <si>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</si>
  <si>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</si>
  <si>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</si>
  <si>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</si>
  <si>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</si>
  <si>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</si>
  <si>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</si>
  <si>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</si>
  <si>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</si>
  <si>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</si>
  <si>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</si>
  <si>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</si>
  <si>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</si>
  <si>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</si>
  <si>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</si>
  <si>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</si>
  <si>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</si>
  <si>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</si>
  <si>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</si>
  <si>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</si>
  <si>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</si>
  <si>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</si>
  <si>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</si>
  <si>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</si>
  <si>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</si>
  <si>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</si>
  <si>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</si>
  <si>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</si>
  <si>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</si>
  <si>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</si>
  <si>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</si>
  <si>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</si>
  <si>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</si>
  <si>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</si>
  <si>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</si>
  <si>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</si>
  <si>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</si>
  <si>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</si>
  <si>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</si>
  <si>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</si>
  <si>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</si>
  <si>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</si>
  <si>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</si>
  <si>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</si>
  <si>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</si>
  <si>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</si>
  <si>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</si>
  <si>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</si>
  <si>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</si>
  <si>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</si>
  <si>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</si>
  <si>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</si>
  <si>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</si>
  <si>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</si>
  <si>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</si>
  <si>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</si>
  <si>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</si>
  <si>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</si>
  <si>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</si>
  <si>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</si>
  <si>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</si>
  <si>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</si>
  <si>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</si>
  <si>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</si>
  <si>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</si>
  <si>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</si>
  <si>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</si>
  <si>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</si>
  <si>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</si>
  <si>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</si>
  <si>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</si>
  <si>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</si>
  <si>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</si>
  <si>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</si>
  <si>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</si>
  <si>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</si>
  <si>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</si>
  <si>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</si>
  <si>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</si>
  <si>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</si>
  <si>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</si>
  <si>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</si>
  <si>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</si>
  <si>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</si>
  <si>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</si>
  <si>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</si>
  <si>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</si>
  <si>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</si>
  <si>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</si>
  <si>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</si>
  <si>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</si>
  <si>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</si>
  <si>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</si>
  <si>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</si>
  <si>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</si>
  <si>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</si>
  <si>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</si>
  <si>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</si>
  <si>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</si>
  <si>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</si>
  <si>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</si>
  <si>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</si>
  <si>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</si>
  <si>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</si>
  <si>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</si>
  <si>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</si>
  <si>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</si>
  <si>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</si>
  <si>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</si>
  <si>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</si>
  <si>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</si>
  <si>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</si>
  <si>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</si>
  <si>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</si>
  <si>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</si>
  <si>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</si>
  <si>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</si>
  <si>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</si>
  <si>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</si>
  <si>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</si>
  <si>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</si>
  <si>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</si>
  <si>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</si>
  <si>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</si>
  <si>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</si>
  <si>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</si>
  <si>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</si>
  <si>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</si>
  <si>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</si>
  <si>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</si>
  <si>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</si>
  <si>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</si>
  <si>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</si>
  <si>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</si>
  <si>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</si>
  <si>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</si>
  <si>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</si>
  <si>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</si>
  <si>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</si>
  <si>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</si>
  <si>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</si>
  <si>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</si>
  <si>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</si>
  <si>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</si>
  <si>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</si>
  <si>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</si>
  <si>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</si>
  <si>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</si>
  <si>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</si>
  <si>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</si>
  <si>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</si>
  <si>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</si>
  <si>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</si>
  <si>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</si>
  <si>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</si>
  <si>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</si>
  <si>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</si>
  <si>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</si>
  <si>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</si>
  <si>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</si>
  <si>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</si>
  <si>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</si>
  <si>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</si>
  <si>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</si>
  <si>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</si>
  <si>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</si>
  <si>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</si>
  <si>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</si>
  <si>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</si>
  <si>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</si>
  <si>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</si>
  <si>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</si>
  <si>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</si>
  <si>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</si>
  <si>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</si>
  <si>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</si>
  <si>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</si>
  <si>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</si>
  <si>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</si>
  <si>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</si>
  <si>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</si>
  <si>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</si>
  <si>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</si>
  <si>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</si>
  <si>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</si>
  <si>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</si>
  <si>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</si>
  <si>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</si>
  <si>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</si>
  <si>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</si>
  <si>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</si>
  <si>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</si>
  <si>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</si>
  <si>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</si>
  <si>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</si>
  <si>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</si>
  <si>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</si>
  <si>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</si>
  <si>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</si>
  <si>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</si>
  <si>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</si>
  <si>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</si>
  <si>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</si>
  <si>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</si>
  <si>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</si>
  <si>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</si>
  <si>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</si>
  <si>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</si>
  <si>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</si>
  <si>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</si>
  <si>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</si>
  <si>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</si>
  <si>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</si>
  <si>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</si>
  <si>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</si>
  <si>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</si>
  <si>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</si>
  <si>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</si>
  <si>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</si>
  <si>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</si>
  <si>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</si>
  <si>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</si>
  <si>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</si>
  <si>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</si>
  <si>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</si>
  <si>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</si>
  <si>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</si>
  <si>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</si>
  <si>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</si>
  <si>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</si>
  <si>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</si>
  <si>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</si>
  <si>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</si>
  <si>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</si>
  <si>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</si>
  <si>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</si>
  <si>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</si>
  <si>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</si>
  <si>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</si>
  <si>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</si>
  <si>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</si>
  <si>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</si>
  <si>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</si>
  <si>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</si>
  <si>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</si>
  <si>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</si>
  <si>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</si>
  <si>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</si>
  <si>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</si>
  <si>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</si>
  <si>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</si>
  <si>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</si>
  <si>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</si>
  <si>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</si>
  <si>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</si>
  <si>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</si>
  <si>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</si>
  <si>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</si>
  <si>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</si>
  <si>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</si>
  <si>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</si>
  <si>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</si>
  <si>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</si>
  <si>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</si>
  <si>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</si>
  <si>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</si>
  <si>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</si>
  <si>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</si>
  <si>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</si>
  <si>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</si>
  <si>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</si>
  <si>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</si>
  <si>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</si>
  <si>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</si>
  <si>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</si>
  <si>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</si>
  <si>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</si>
  <si>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</si>
  <si>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</si>
  <si>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</si>
  <si>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</si>
  <si>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</si>
  <si>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</si>
  <si>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</si>
  <si>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</si>
  <si>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</si>
  <si>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</si>
  <si>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</si>
  <si>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</si>
  <si>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</si>
  <si>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</si>
  <si>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</si>
  <si>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</si>
  <si>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</si>
  <si>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</si>
  <si>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</si>
  <si>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</si>
  <si>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</si>
  <si>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</si>
  <si>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</si>
  <si>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</si>
  <si>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</si>
  <si>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</si>
  <si>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</si>
  <si>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</si>
  <si>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</si>
  <si>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</si>
  <si>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</si>
  <si>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</si>
  <si>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</si>
  <si>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</si>
  <si>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</si>
  <si>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</si>
  <si>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</si>
  <si>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</si>
  <si>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</si>
  <si>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</si>
  <si>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</si>
  <si>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</si>
  <si>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</si>
  <si>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</si>
  <si>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</si>
  <si>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</si>
  <si>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</si>
  <si>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</si>
  <si>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</si>
  <si>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</si>
  <si>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</si>
  <si>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</si>
  <si>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</si>
  <si>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</si>
  <si>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</si>
  <si>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</si>
  <si>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</si>
  <si>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</si>
  <si>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</si>
  <si>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</si>
  <si>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</si>
  <si>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</si>
  <si>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</si>
  <si>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</si>
  <si>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</si>
  <si>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</si>
  <si>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</si>
  <si>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</si>
  <si>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</si>
  <si>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</si>
  <si>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</si>
  <si>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</si>
  <si>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</si>
  <si>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</si>
  <si>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</si>
  <si>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</si>
  <si>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</si>
  <si>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</si>
  <si>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</si>
  <si>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</si>
  <si>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</si>
  <si>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</si>
  <si>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</si>
  <si>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</si>
  <si>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</si>
  <si>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</si>
  <si>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</si>
  <si>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</si>
  <si>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</si>
  <si>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</si>
  <si>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</si>
  <si>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</si>
  <si>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</si>
  <si>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</si>
  <si>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</si>
  <si>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</si>
  <si>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</si>
  <si>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</si>
  <si>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</si>
  <si>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</si>
  <si>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</si>
  <si>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</si>
  <si>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</si>
  <si>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</si>
  <si>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</si>
  <si>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</si>
  <si>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</si>
  <si>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</si>
  <si>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</si>
  <si>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</si>
  <si>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</si>
  <si>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</si>
  <si>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</si>
  <si>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</si>
  <si>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</si>
  <si>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</si>
  <si>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</si>
  <si>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</si>
  <si>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</si>
  <si>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</si>
  <si>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</si>
  <si>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</si>
  <si>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</si>
  <si>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</si>
  <si>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</si>
  <si>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</si>
  <si>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</si>
  <si>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</si>
  <si>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</si>
  <si>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</si>
  <si>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</si>
  <si>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</si>
  <si>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</si>
  <si>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</si>
  <si>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</si>
  <si>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</si>
  <si>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</si>
  <si>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</si>
  <si>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</si>
  <si>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</si>
  <si>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</si>
  <si>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</si>
  <si>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</si>
  <si>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</si>
  <si>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</si>
  <si>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</si>
  <si>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</si>
  <si>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</si>
  <si>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</si>
  <si>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</si>
  <si>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</si>
  <si>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</si>
  <si>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</si>
  <si>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</si>
  <si>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</si>
  <si>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</si>
  <si>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</si>
  <si>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</si>
  <si>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</si>
  <si>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</si>
  <si>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</si>
  <si>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</si>
  <si>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</si>
  <si>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</si>
  <si>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</si>
  <si>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</si>
  <si>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</si>
  <si>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</si>
  <si>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</si>
  <si>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</si>
  <si>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</si>
  <si>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</si>
  <si>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</si>
  <si>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</si>
  <si>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</si>
  <si>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</si>
  <si>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</si>
  <si>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</si>
  <si>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</si>
  <si>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</si>
  <si>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</si>
  <si>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</si>
  <si>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</si>
  <si>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</si>
  <si>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</si>
  <si>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</si>
  <si>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</si>
  <si>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</si>
  <si>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</si>
  <si>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</si>
  <si>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</si>
  <si>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</si>
  <si>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</si>
  <si>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</si>
  <si>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</si>
  <si>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</si>
  <si>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</si>
  <si>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</si>
  <si>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</si>
  <si>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</si>
  <si>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</si>
  <si>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</si>
  <si>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</si>
  <si>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</si>
  <si>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</si>
  <si>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</si>
  <si>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</si>
  <si>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</si>
  <si>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</si>
  <si>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</si>
  <si>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</si>
  <si>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</si>
  <si>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</si>
  <si>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</si>
  <si>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</si>
  <si>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</si>
  <si>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</si>
  <si>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</si>
  <si>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</si>
  <si>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</si>
  <si>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</si>
  <si>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</si>
  <si>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</si>
  <si>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</si>
  <si>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</si>
  <si>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</si>
  <si>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</si>
  <si>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</si>
  <si>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</si>
  <si>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</si>
  <si>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</si>
  <si>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</si>
  <si>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</si>
  <si>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</si>
  <si>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</si>
  <si>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</si>
  <si>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</si>
  <si>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</si>
  <si>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</si>
  <si>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</si>
  <si>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</si>
  <si>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</si>
  <si>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</si>
  <si>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</si>
  <si>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</si>
  <si>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</si>
  <si>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</si>
  <si>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</si>
  <si>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</si>
  <si>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</si>
  <si>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</si>
  <si>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</si>
  <si>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</si>
  <si>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</si>
  <si>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</si>
  <si>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</si>
  <si>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</si>
  <si>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</si>
  <si>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</si>
  <si>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</si>
  <si>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</si>
  <si>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</si>
  <si>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</si>
  <si>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</si>
  <si>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</si>
  <si>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</si>
  <si>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</si>
  <si>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</si>
  <si>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</si>
  <si>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</si>
  <si>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</si>
  <si>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</si>
  <si>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</si>
  <si>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</si>
  <si>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</si>
  <si>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</si>
  <si>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</si>
  <si>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</si>
  <si>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</si>
  <si>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</si>
  <si>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</si>
  <si>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</si>
  <si>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</si>
  <si>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</si>
  <si>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</si>
  <si>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</si>
  <si>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</si>
  <si>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</si>
  <si>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</si>
  <si>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</si>
  <si>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</si>
  <si>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</si>
  <si>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</si>
  <si>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</si>
  <si>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</si>
  <si>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</si>
  <si>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</si>
  <si>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</si>
  <si>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</si>
  <si>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</si>
  <si>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</si>
  <si>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</si>
  <si>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</si>
  <si>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</si>
  <si>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</si>
  <si>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</si>
  <si>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</si>
  <si>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</si>
  <si>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</si>
  <si>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</si>
  <si>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</si>
  <si>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</si>
  <si>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</si>
  <si>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</si>
  <si>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</si>
  <si>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</si>
  <si>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</si>
  <si>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</si>
  <si>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</si>
  <si>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</si>
  <si>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</si>
  <si>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</si>
  <si>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</si>
  <si>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</si>
  <si>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</si>
  <si>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</si>
  <si>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</si>
  <si>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</si>
  <si>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</si>
  <si>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</si>
  <si>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</si>
  <si>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</si>
  <si>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</si>
  <si>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</si>
  <si>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</si>
  <si>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</si>
  <si>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</si>
  <si>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</si>
  <si>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</si>
  <si>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</si>
  <si>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</si>
  <si>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</si>
  <si>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</si>
  <si>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</si>
  <si>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</si>
  <si>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</si>
  <si>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</si>
  <si>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</si>
  <si>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</si>
  <si>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</si>
  <si>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</si>
  <si>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</si>
  <si>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</si>
  <si>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</si>
  <si>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</si>
  <si>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</si>
  <si>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</si>
  <si>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</si>
  <si>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</si>
  <si>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</si>
  <si>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</si>
  <si>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</si>
  <si>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</si>
  <si>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</si>
  <si>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</si>
  <si>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</si>
  <si>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</si>
  <si>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</si>
  <si>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</si>
  <si>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</si>
  <si>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</si>
  <si>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</si>
  <si>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</si>
  <si>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</si>
  <si>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</si>
  <si>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</si>
  <si>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</si>
  <si>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</si>
  <si>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</si>
  <si>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</si>
  <si>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</si>
  <si>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</si>
  <si>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</si>
  <si>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</si>
  <si>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</si>
  <si>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</si>
  <si>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</si>
  <si>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</si>
  <si>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</si>
  <si>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</si>
  <si>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</si>
  <si>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</si>
  <si>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</si>
  <si>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</si>
  <si>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</si>
  <si>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</si>
  <si>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</si>
  <si>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</si>
  <si>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</si>
  <si>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</si>
  <si>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</si>
  <si>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</si>
  <si>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</si>
  <si>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</si>
  <si>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</si>
  <si>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</si>
  <si>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</si>
  <si>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</si>
  <si>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</si>
  <si>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</si>
  <si>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</si>
  <si>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</si>
  <si>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</si>
  <si>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</si>
  <si>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</si>
  <si>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</si>
  <si>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</si>
  <si>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</si>
  <si>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</si>
  <si>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</si>
  <si>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</si>
  <si>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</si>
  <si>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</si>
  <si>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</si>
  <si>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</si>
  <si>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</si>
  <si>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</si>
  <si>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</si>
  <si>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</si>
  <si>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</si>
  <si>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</si>
  <si>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</si>
  <si>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</si>
  <si>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</si>
  <si>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</si>
  <si>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</si>
  <si>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</si>
  <si>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</si>
  <si>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</si>
  <si>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</si>
  <si>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</si>
  <si>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</si>
  <si>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</si>
  <si>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</si>
  <si>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</si>
  <si>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</si>
  <si>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</si>
  <si>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</si>
  <si>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</si>
  <si>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</si>
  <si>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</si>
  <si>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</si>
  <si>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</si>
  <si>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</si>
  <si>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</si>
  <si>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</si>
  <si>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</si>
  <si>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</si>
  <si>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</si>
  <si>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</si>
  <si>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</si>
  <si>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</si>
  <si>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</si>
  <si>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</si>
  <si>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</si>
  <si>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</si>
  <si>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</si>
  <si>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</si>
  <si>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</si>
  <si>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</si>
  <si>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</si>
  <si>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</si>
  <si>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</si>
  <si>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</si>
  <si>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</si>
  <si>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</si>
  <si>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</si>
  <si>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</si>
  <si>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</si>
  <si>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</si>
  <si>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</si>
  <si>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</si>
  <si>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</si>
  <si>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</si>
  <si>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</si>
  <si>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</si>
  <si>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</si>
  <si>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</si>
  <si>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</si>
  <si>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</si>
  <si>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</si>
  <si>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</si>
  <si>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</si>
  <si>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</si>
  <si>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</si>
  <si>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</si>
  <si>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</si>
  <si>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</si>
  <si>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</si>
  <si>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</si>
  <si>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</si>
  <si>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</si>
  <si>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</si>
  <si>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</si>
  <si>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</si>
  <si>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</si>
  <si>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</si>
  <si>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</si>
  <si>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</si>
  <si>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</si>
  <si>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</si>
  <si>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</si>
  <si>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</si>
  <si>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</si>
  <si>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</si>
  <si>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</si>
  <si>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</si>
  <si>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</si>
  <si>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</si>
  <si>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</si>
  <si>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</si>
  <si>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</si>
  <si>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</si>
  <si>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</si>
  <si>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</si>
  <si>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</si>
  <si>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</si>
  <si>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</si>
  <si>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</si>
  <si>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</si>
  <si>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</si>
  <si>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</si>
  <si>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</si>
  <si>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</si>
  <si>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</si>
  <si>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</si>
  <si>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</si>
  <si>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</si>
  <si>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</si>
  <si>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</si>
  <si>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</si>
  <si>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</si>
  <si>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</si>
  <si>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</si>
  <si>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</si>
  <si>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</si>
  <si>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</si>
  <si>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</si>
  <si>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</si>
  <si>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</si>
  <si>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</si>
  <si>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</si>
  <si>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</si>
  <si>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</si>
  <si>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</si>
  <si>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</si>
  <si>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</si>
  <si>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</si>
  <si>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</si>
  <si>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</si>
  <si>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</si>
  <si>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</si>
  <si>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</si>
  <si>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</si>
  <si>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</si>
  <si>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</si>
  <si>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</si>
  <si>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</si>
  <si>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</si>
  <si>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</si>
  <si>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</si>
  <si>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</si>
  <si>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</si>
  <si>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</si>
  <si>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</si>
  <si>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</si>
  <si>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</si>
  <si>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</si>
  <si>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</si>
  <si>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</si>
  <si>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</si>
  <si>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</si>
  <si>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</si>
  <si>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</si>
  <si>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</si>
  <si>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</si>
  <si>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</si>
  <si>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</si>
  <si>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</si>
  <si>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</si>
  <si>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</si>
  <si>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</si>
  <si>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</si>
  <si>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</si>
  <si>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</si>
  <si>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</si>
  <si>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</si>
  <si>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</si>
  <si>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</si>
  <si>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</si>
  <si>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</si>
  <si>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</si>
  <si>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</si>
  <si>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</si>
  <si>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</si>
  <si>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</si>
  <si>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</si>
  <si>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</si>
  <si>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</si>
  <si>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</si>
  <si>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</si>
  <si>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</si>
  <si>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</si>
  <si>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</si>
  <si>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</si>
  <si>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</si>
  <si>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</si>
  <si>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</si>
  <si>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</si>
  <si>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</si>
  <si>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</si>
  <si>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</si>
  <si>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</si>
  <si>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</si>
  <si>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</si>
  <si>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</si>
  <si>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</si>
  <si>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</si>
  <si>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</si>
  <si>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</si>
  <si>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</si>
  <si>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</si>
  <si>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</si>
  <si>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</si>
  <si>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</si>
  <si>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</si>
  <si>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</si>
  <si>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</si>
  <si>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</si>
  <si>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</si>
  <si>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</si>
  <si>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</si>
  <si>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</si>
  <si>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</si>
  <si>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</si>
  <si>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</si>
  <si>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</si>
  <si>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</si>
  <si>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</si>
  <si>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</si>
  <si>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</si>
  <si>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</si>
  <si>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</si>
  <si>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</si>
  <si>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</si>
  <si>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</si>
  <si>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</si>
  <si>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</si>
  <si>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</si>
  <si>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</si>
  <si>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</si>
  <si>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</si>
  <si>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</si>
  <si>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</si>
  <si>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</si>
  <si>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</si>
  <si>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</si>
  <si>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</si>
  <si>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</si>
  <si>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</si>
  <si>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</si>
  <si>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</si>
  <si>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</si>
  <si>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</si>
  <si>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</si>
  <si>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</si>
  <si>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</si>
  <si>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</si>
  <si>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</si>
  <si>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</si>
  <si>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</si>
  <si>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</si>
  <si>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</si>
  <si>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</si>
  <si>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</si>
  <si>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</si>
  <si>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</si>
  <si>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</si>
  <si>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</si>
  <si>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</si>
  <si>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</si>
  <si>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</si>
  <si>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</si>
  <si>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</si>
  <si>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</si>
  <si>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</si>
  <si>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</si>
  <si>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</si>
  <si>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</si>
  <si>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</si>
  <si>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</si>
  <si>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</si>
  <si>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</si>
  <si>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</si>
  <si>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</si>
  <si>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</si>
  <si>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</si>
  <si>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</si>
  <si>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</si>
  <si>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</si>
  <si>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</si>
  <si>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</si>
  <si>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</si>
  <si>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</si>
  <si>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</si>
  <si>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</si>
  <si>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</si>
  <si>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</si>
  <si>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</si>
  <si>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</si>
  <si>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</si>
  <si>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</si>
  <si>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</si>
  <si>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</si>
  <si>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</si>
  <si>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</si>
  <si>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</si>
  <si>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</si>
  <si>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</si>
  <si>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</si>
  <si>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</si>
  <si>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</si>
  <si>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</si>
  <si>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</si>
  <si>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</si>
  <si>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</si>
  <si>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</si>
  <si>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</si>
  <si>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</si>
  <si>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</si>
  <si>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</si>
  <si>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</si>
  <si>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</si>
  <si>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</si>
  <si>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</si>
  <si>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</si>
  <si>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</si>
  <si>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</si>
  <si>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</si>
  <si>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</si>
  <si>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</si>
  <si>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</si>
  <si>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</si>
  <si>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</si>
  <si>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</si>
  <si>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</si>
  <si>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</si>
  <si>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</si>
  <si>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</si>
  <si>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</si>
  <si>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</si>
  <si>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</si>
  <si>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</si>
  <si>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</si>
  <si>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</si>
  <si>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</si>
  <si>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</si>
  <si>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</si>
  <si>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</si>
  <si>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</si>
  <si>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</si>
  <si>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</si>
  <si>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</si>
  <si>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</si>
  <si>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</si>
  <si>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</si>
  <si>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</si>
  <si>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</si>
  <si>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</si>
  <si>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</si>
  <si>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</si>
  <si>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</si>
  <si>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</si>
  <si>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</si>
  <si>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</si>
  <si>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</si>
  <si>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</si>
  <si>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</si>
  <si>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</si>
  <si>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</si>
  <si>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</si>
  <si>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</si>
  <si>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</si>
  <si>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</si>
  <si>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</si>
  <si>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</si>
  <si>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</si>
  <si>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</si>
  <si>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</si>
  <si>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</si>
  <si>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</si>
  <si>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</si>
  <si>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</si>
  <si>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</si>
  <si>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</si>
  <si>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</si>
  <si>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</si>
  <si>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</si>
  <si>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</si>
  <si>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</si>
  <si>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</si>
  <si>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</si>
  <si>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</si>
  <si>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</si>
  <si>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</si>
  <si>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</si>
  <si>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</si>
  <si>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</si>
  <si>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</si>
  <si>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</si>
  <si>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</si>
  <si>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</si>
  <si>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</si>
  <si>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</si>
  <si>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</si>
  <si>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</si>
  <si>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</si>
  <si>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</si>
  <si>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</si>
  <si>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</si>
  <si>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</si>
  <si>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</si>
  <si>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</si>
  <si>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</si>
  <si>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</si>
  <si>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</si>
  <si>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</si>
  <si>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</si>
  <si>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</si>
  <si>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</si>
  <si>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</si>
  <si>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</si>
  <si>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</si>
  <si>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</si>
  <si>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</si>
  <si>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</si>
  <si>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</si>
  <si>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</si>
  <si>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</si>
  <si>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</si>
  <si>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</si>
  <si>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</si>
  <si>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</si>
  <si>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</si>
  <si>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</si>
  <si>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</si>
  <si>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</si>
  <si>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</si>
  <si>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</si>
  <si>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</si>
  <si>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</si>
  <si>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</si>
  <si>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</si>
  <si>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</si>
  <si>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</si>
  <si>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</si>
  <si>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</si>
  <si>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</si>
  <si>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</si>
  <si>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</si>
  <si>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</si>
  <si>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</si>
  <si>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</si>
  <si>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</si>
  <si>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</si>
  <si>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</si>
  <si>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</si>
  <si>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</si>
  <si>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</si>
  <si>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</si>
  <si>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</si>
  <si>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</si>
  <si>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</si>
  <si>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</si>
  <si>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</si>
  <si>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</si>
  <si>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</si>
  <si>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</si>
  <si>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</si>
  <si>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</si>
  <si>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</si>
  <si>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</si>
  <si>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</si>
  <si>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</si>
  <si>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</si>
  <si>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</si>
  <si>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</si>
  <si>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</si>
  <si>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</si>
  <si>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</si>
  <si>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</si>
  <si>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</si>
  <si>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</si>
  <si>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</si>
  <si>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</si>
  <si>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</si>
  <si>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</si>
  <si>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</si>
  <si>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</si>
  <si>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</si>
  <si>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</si>
  <si>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</si>
  <si>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</si>
  <si>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</si>
  <si>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</si>
  <si>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</si>
  <si>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</si>
  <si>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</si>
  <si>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</si>
  <si>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</si>
  <si>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</si>
  <si>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</si>
  <si>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</si>
  <si>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</si>
  <si>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</si>
  <si>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</si>
  <si>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</si>
  <si>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</si>
  <si>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</si>
  <si>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</si>
  <si>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</si>
  <si>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</si>
  <si>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</si>
  <si>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</si>
  <si>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</si>
  <si>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</si>
  <si>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</si>
  <si>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</si>
  <si>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</si>
  <si>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</si>
  <si>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</si>
  <si>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</si>
  <si>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</si>
  <si>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</si>
  <si>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</si>
  <si>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</si>
  <si>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</si>
  <si>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</si>
  <si>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</si>
  <si>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</si>
  <si>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</si>
  <si>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</si>
  <si>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</si>
  <si>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</si>
  <si>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</si>
  <si>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</si>
  <si>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</si>
  <si>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</si>
  <si>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</si>
  <si>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</si>
  <si>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</si>
  <si>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</si>
  <si>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</si>
  <si>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</si>
  <si>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</si>
  <si>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</si>
  <si>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</si>
  <si>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</si>
  <si>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</si>
  <si>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</si>
  <si>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</si>
  <si>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</si>
  <si>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</si>
  <si>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</si>
  <si>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</si>
  <si>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</si>
  <si>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</si>
  <si>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</si>
  <si>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</si>
  <si>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</si>
  <si>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</si>
  <si>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</si>
  <si>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</si>
  <si>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</si>
  <si>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</si>
  <si>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</si>
  <si>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</si>
  <si>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</si>
  <si>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</si>
  <si>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</si>
  <si>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</si>
  <si>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</si>
  <si>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</si>
  <si>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</si>
  <si>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</si>
  <si>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</si>
  <si>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</si>
  <si>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</si>
  <si>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</si>
  <si>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</si>
  <si>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</si>
  <si>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</si>
  <si>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</si>
  <si>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</si>
  <si>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</si>
  <si>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</si>
  <si>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</si>
  <si>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</si>
  <si>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</si>
  <si>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</si>
  <si>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</si>
  <si>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</si>
  <si>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</si>
  <si>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</si>
  <si>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</si>
  <si>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</si>
  <si>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</si>
  <si>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</si>
  <si>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</si>
  <si>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</si>
  <si>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</si>
  <si>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</si>
  <si>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</si>
  <si>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</si>
  <si>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</si>
  <si>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</si>
  <si>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</si>
  <si>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</si>
  <si>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</si>
  <si>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</si>
  <si>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</si>
  <si>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</si>
  <si>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</si>
  <si>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</si>
  <si>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</si>
  <si>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</si>
  <si>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</si>
  <si>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</si>
  <si>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</si>
  <si>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</si>
  <si>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</si>
  <si>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</si>
  <si>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</si>
  <si>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</si>
  <si>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</si>
  <si>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</si>
  <si>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</si>
  <si>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</si>
  <si>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</si>
  <si>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</si>
  <si>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</si>
  <si>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</si>
  <si>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</si>
  <si>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</si>
  <si>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</si>
  <si>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</si>
  <si>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</si>
  <si>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</si>
  <si>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</si>
  <si>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</si>
  <si>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</si>
  <si>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</si>
  <si>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</si>
  <si>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</si>
  <si>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</si>
  <si>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</si>
  <si>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</si>
  <si>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</si>
  <si>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</si>
  <si>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</si>
  <si>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</si>
  <si>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</si>
  <si>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</si>
  <si>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</si>
  <si>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</si>
  <si>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</si>
  <si>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</si>
  <si>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</si>
  <si>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</si>
  <si>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</si>
  <si>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</si>
  <si>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</si>
  <si>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</si>
  <si>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</si>
  <si>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</si>
  <si>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</si>
  <si>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</si>
  <si>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</si>
  <si>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</si>
  <si>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</si>
  <si>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</si>
  <si>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</si>
  <si>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</si>
  <si>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</si>
  <si>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</si>
  <si>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</si>
  <si>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</si>
  <si>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</si>
  <si>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</si>
  <si>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</si>
  <si>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</si>
  <si>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</si>
  <si>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</si>
  <si>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</si>
  <si>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</si>
  <si>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</si>
  <si>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</si>
  <si>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</si>
  <si>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</si>
  <si>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</si>
  <si>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</si>
  <si>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</si>
  <si>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</si>
  <si>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</si>
  <si>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</si>
  <si>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</si>
  <si>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</si>
  <si>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</si>
  <si>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</si>
  <si>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</si>
  <si>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</si>
  <si>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</si>
  <si>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</si>
  <si>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</si>
  <si>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</si>
  <si>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</si>
  <si>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</si>
  <si>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</si>
  <si>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</si>
  <si>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</si>
  <si>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</si>
  <si>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</si>
  <si>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</si>
  <si>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</si>
  <si>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</si>
  <si>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</si>
  <si>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</si>
  <si>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</si>
  <si>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</si>
  <si>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</si>
  <si>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</si>
  <si>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</si>
  <si>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</si>
  <si>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</si>
  <si>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</si>
  <si>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</si>
  <si>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</si>
  <si>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</si>
  <si>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</si>
  <si>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</si>
  <si>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</si>
  <si>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</si>
  <si>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</si>
  <si>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</si>
  <si>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</si>
  <si>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</si>
  <si>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</si>
  <si>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</si>
  <si>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</si>
  <si>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</si>
  <si>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</si>
  <si>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</si>
  <si>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</si>
  <si>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</si>
  <si>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</si>
  <si>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</si>
  <si>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</si>
  <si>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</si>
  <si>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</si>
  <si>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</si>
  <si>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</si>
  <si>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</si>
  <si>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</si>
  <si>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</si>
  <si>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</si>
  <si>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</si>
  <si>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</si>
  <si>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</si>
  <si>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</si>
  <si>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</si>
  <si>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</si>
  <si>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</si>
  <si>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</si>
  <si>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</si>
  <si>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</si>
  <si>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</si>
  <si>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</si>
  <si>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</si>
  <si>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</si>
  <si>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</si>
  <si>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</si>
  <si>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</si>
  <si>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</si>
  <si>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</si>
  <si>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</si>
  <si>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</si>
  <si>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</si>
  <si>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</si>
  <si>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</si>
  <si>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</si>
  <si>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</si>
  <si>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</si>
  <si>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</si>
  <si>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</si>
  <si>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</si>
  <si>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</si>
  <si>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</si>
  <si>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</si>
  <si>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</si>
  <si>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</si>
  <si>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</si>
  <si>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</si>
  <si>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</si>
  <si>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</si>
  <si>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</si>
  <si>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</si>
  <si>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</si>
  <si>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</si>
  <si>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</si>
  <si>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</si>
  <si>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</si>
  <si>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</si>
  <si>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</si>
  <si>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</si>
  <si>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</si>
  <si>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</si>
  <si>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</si>
  <si>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</si>
  <si>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</si>
  <si>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</si>
  <si>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</si>
  <si>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</si>
  <si>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</si>
  <si>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</si>
  <si>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</si>
  <si>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</si>
  <si>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</si>
  <si>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</si>
  <si>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</si>
  <si>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</si>
  <si>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</si>
  <si>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</si>
  <si>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</si>
  <si>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</si>
  <si>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</si>
  <si>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</si>
  <si>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</si>
  <si>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</si>
  <si>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</si>
  <si>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</si>
  <si>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</si>
  <si>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</si>
  <si>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</si>
  <si>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</si>
  <si>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</si>
  <si>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</si>
  <si>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</si>
  <si>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</si>
  <si>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</si>
  <si>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</si>
  <si>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</si>
  <si>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</si>
  <si>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</si>
  <si>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</si>
  <si>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</si>
  <si>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</si>
  <si>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</si>
  <si>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</si>
  <si>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</si>
  <si>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</si>
  <si>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</si>
  <si>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</si>
  <si>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</si>
  <si>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</si>
  <si>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</si>
  <si>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</si>
  <si>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</si>
  <si>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</si>
  <si>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</si>
  <si>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</si>
  <si>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</si>
  <si>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</si>
  <si>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</si>
  <si>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</si>
  <si>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</si>
  <si>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</si>
  <si>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</si>
  <si>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</si>
  <si>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</si>
  <si>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</si>
  <si>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</si>
  <si>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</si>
  <si>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</si>
  <si>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</si>
  <si>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</si>
  <si>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</si>
  <si>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</si>
  <si>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</si>
  <si>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</si>
  <si>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</si>
  <si>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</si>
  <si>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</si>
  <si>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</si>
  <si>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</si>
  <si>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</si>
  <si>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</si>
  <si>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</si>
  <si>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</si>
  <si>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</si>
  <si>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</si>
  <si>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</si>
  <si>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</si>
  <si>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</si>
  <si>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</si>
  <si>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</si>
  <si>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</si>
  <si>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</si>
  <si>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</si>
  <si>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</si>
  <si>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</si>
  <si>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</si>
  <si>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</si>
  <si>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</si>
  <si>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</si>
  <si>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</si>
  <si>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</si>
  <si>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</si>
  <si>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</si>
  <si>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</si>
  <si>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</si>
  <si>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</si>
  <si>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</si>
  <si>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</si>
  <si>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</si>
  <si>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</si>
  <si>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</si>
  <si>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</si>
  <si>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</si>
  <si>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</si>
  <si>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</si>
  <si>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</si>
  <si>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</si>
  <si>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</si>
  <si>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</si>
  <si>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</si>
  <si>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</si>
  <si>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</si>
  <si>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</si>
  <si>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</si>
  <si>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</si>
  <si>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</si>
  <si>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</si>
  <si>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</si>
  <si>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</si>
  <si>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</si>
  <si>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</si>
  <si>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</si>
  <si>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</si>
  <si>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</si>
  <si>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</si>
  <si>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</si>
  <si>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</si>
  <si>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</si>
  <si>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</si>
  <si>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</si>
  <si>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</si>
  <si>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</si>
  <si>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</si>
  <si>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</si>
  <si>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</si>
  <si>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</si>
  <si>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</si>
  <si>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</si>
  <si>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</si>
  <si>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</si>
  <si>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</si>
  <si>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</si>
  <si>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</si>
  <si>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</si>
  <si>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</si>
  <si>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</si>
  <si>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</si>
  <si>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</si>
  <si>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</si>
  <si>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</si>
  <si>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</si>
  <si>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</si>
  <si>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</si>
  <si>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</si>
  <si>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</si>
  <si>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</si>
  <si>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</si>
  <si>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</si>
  <si>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</si>
  <si>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</si>
  <si>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</si>
  <si>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</si>
  <si>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</si>
  <si>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</si>
  <si>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</si>
  <si>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</si>
  <si>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</si>
  <si>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</si>
  <si>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</si>
  <si>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</si>
  <si>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</si>
  <si>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</si>
  <si>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</si>
  <si>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</si>
  <si>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</si>
  <si>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</si>
  <si>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</si>
  <si>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</si>
  <si>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</si>
  <si>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</si>
  <si>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</si>
  <si>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</si>
  <si>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</si>
  <si>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</si>
  <si>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</si>
  <si>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</si>
  <si>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</si>
  <si>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</si>
  <si>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</si>
  <si>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</si>
  <si>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</si>
  <si>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</si>
  <si>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</si>
  <si>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</si>
  <si>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</si>
  <si>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</si>
  <si>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</si>
  <si>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</si>
  <si>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</si>
  <si>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</si>
  <si>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</si>
  <si>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</si>
  <si>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</si>
  <si>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</si>
  <si>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</si>
  <si>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</si>
  <si>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</si>
  <si>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</si>
  <si>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</si>
  <si>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</si>
  <si>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</si>
  <si>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</si>
  <si>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</si>
  <si>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</si>
  <si>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</si>
  <si>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</si>
  <si>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</si>
  <si>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</si>
  <si>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</si>
  <si>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</si>
  <si>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</si>
  <si>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</si>
  <si>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</si>
  <si>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</si>
  <si>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</si>
  <si>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</si>
  <si>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</si>
  <si>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</si>
  <si>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</si>
  <si>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</si>
  <si>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</si>
  <si>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</si>
  <si>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</si>
  <si>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</si>
  <si>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</si>
  <si>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</si>
  <si>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</si>
  <si>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</si>
  <si>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</si>
  <si>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</si>
  <si>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</si>
  <si>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</si>
  <si>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</si>
  <si>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</si>
  <si>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</si>
  <si>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</si>
  <si>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</si>
  <si>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</si>
  <si>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</si>
  <si>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</si>
  <si>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</si>
  <si>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</si>
  <si>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</si>
  <si>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</si>
  <si>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</si>
  <si>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</si>
  <si>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</si>
  <si>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</si>
  <si>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</si>
  <si>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</si>
  <si>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</si>
  <si>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</si>
  <si>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</si>
  <si>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</si>
  <si>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</si>
  <si>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</si>
  <si>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</si>
  <si>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</si>
  <si>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</si>
  <si>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</si>
  <si>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</si>
  <si>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</si>
  <si>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</si>
  <si>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</si>
  <si>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</si>
  <si>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</si>
  <si>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</si>
  <si>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</si>
  <si>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</si>
  <si>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</si>
  <si>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</si>
  <si>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</si>
  <si>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</si>
  <si>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</si>
  <si>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</si>
  <si>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</si>
  <si>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</si>
  <si>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</si>
  <si>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</si>
  <si>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</si>
  <si>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</si>
  <si>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</si>
  <si>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</si>
  <si>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</si>
  <si>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</si>
  <si>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</si>
  <si>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</si>
  <si>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</si>
  <si>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</si>
  <si>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</si>
  <si>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</si>
  <si>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</si>
  <si>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</si>
  <si>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</si>
  <si>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</si>
  <si>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</si>
  <si>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</si>
  <si>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</si>
  <si>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</si>
  <si>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</si>
  <si>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</si>
  <si>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</si>
  <si>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</si>
  <si>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</si>
  <si>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</si>
  <si>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</si>
  <si>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</si>
  <si>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</si>
  <si>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</si>
  <si>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</si>
  <si>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</si>
  <si>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</si>
  <si>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</si>
  <si>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</si>
  <si>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</si>
  <si>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</si>
  <si>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</si>
  <si>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</si>
  <si>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</si>
  <si>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</si>
  <si>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</si>
  <si>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</si>
  <si>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</si>
  <si>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</si>
  <si>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</si>
  <si>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</si>
  <si>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</si>
  <si>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</si>
  <si>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</si>
  <si>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</si>
  <si>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</si>
  <si>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</si>
  <si>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</si>
  <si>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</si>
  <si>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</si>
  <si>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</si>
  <si>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</si>
  <si>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</si>
  <si>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</si>
  <si>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</si>
  <si>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</si>
  <si>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</si>
  <si>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</si>
  <si>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</si>
  <si>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</si>
  <si>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</si>
  <si>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</si>
  <si>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</si>
  <si>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</si>
  <si>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</si>
  <si>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</si>
  <si>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</si>
  <si>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</si>
  <si>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</si>
  <si>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</si>
  <si>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</si>
  <si>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</si>
  <si>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</si>
  <si>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</si>
  <si>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</si>
  <si>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</si>
  <si>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</si>
  <si>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</si>
  <si>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</si>
  <si>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</si>
  <si>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</si>
  <si>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</si>
  <si>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</si>
  <si>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</si>
  <si>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</si>
  <si>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</si>
  <si>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</si>
  <si>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</si>
  <si>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</si>
  <si>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</si>
  <si>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</si>
  <si>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</si>
  <si>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</si>
  <si>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</si>
  <si>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</si>
  <si>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</si>
  <si>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</si>
  <si>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</si>
  <si>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</si>
  <si>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</si>
  <si>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</si>
  <si>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</si>
  <si>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</si>
  <si>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</si>
  <si>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</si>
  <si>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</si>
  <si>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</si>
  <si>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</si>
  <si>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</si>
  <si>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</si>
  <si>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</si>
  <si>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</si>
  <si>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</si>
  <si>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</si>
  <si>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</si>
  <si>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</si>
  <si>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</si>
  <si>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</si>
  <si>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</si>
  <si>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</si>
  <si>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</si>
  <si>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</si>
  <si>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</si>
  <si>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</si>
  <si>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</si>
  <si>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</si>
  <si>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</si>
  <si>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</si>
  <si>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</si>
  <si>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</si>
  <si>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</si>
  <si>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</si>
  <si>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</si>
  <si>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</si>
  <si>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</si>
  <si>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</si>
  <si>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</si>
  <si>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</si>
  <si>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</si>
  <si>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</si>
  <si>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</si>
  <si>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</si>
  <si>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</si>
  <si>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</si>
  <si>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</si>
  <si>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</si>
  <si>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</si>
  <si>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</si>
  <si>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</si>
  <si>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</si>
  <si>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</si>
  <si>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</si>
  <si>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</si>
  <si>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</si>
  <si>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</si>
  <si>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</si>
  <si>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</si>
  <si>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</si>
  <si>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</si>
  <si>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</si>
  <si>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</si>
  <si>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</si>
  <si>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</si>
  <si>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</si>
  <si>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</si>
  <si>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</si>
  <si>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</si>
  <si>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</si>
  <si>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</si>
  <si>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</si>
  <si>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</si>
  <si>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</si>
  <si>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</si>
  <si>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</si>
  <si>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</si>
  <si>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</si>
  <si>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</si>
  <si>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</si>
  <si>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</si>
  <si>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</si>
  <si>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</si>
  <si>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</si>
  <si>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</si>
  <si>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</si>
  <si>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</si>
  <si>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</si>
  <si>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</si>
  <si>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</si>
  <si>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</si>
  <si>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</si>
  <si>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</si>
  <si>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</si>
  <si>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</si>
  <si>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</si>
  <si>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</si>
  <si>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</si>
  <si>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</si>
  <si>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</si>
  <si>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</si>
  <si>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</si>
  <si>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</si>
  <si>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</si>
  <si>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</si>
  <si>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</si>
  <si>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</si>
  <si>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</si>
  <si>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</si>
  <si>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</si>
  <si>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</si>
  <si>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</si>
  <si>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</si>
  <si>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</si>
  <si>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</si>
  <si>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</si>
  <si>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</si>
  <si>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</si>
  <si>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</si>
  <si>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</si>
  <si>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</si>
  <si>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</si>
  <si>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</si>
  <si>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</si>
  <si>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</si>
  <si>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</si>
  <si>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</si>
  <si>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</si>
  <si>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</si>
  <si>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</si>
  <si>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</si>
  <si>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</si>
  <si>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</si>
  <si>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</si>
  <si>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</si>
  <si>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</si>
  <si>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</si>
  <si>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</si>
  <si>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</si>
  <si>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</si>
  <si>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</si>
  <si>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</si>
  <si>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</si>
  <si>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</si>
  <si>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</si>
  <si>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</si>
  <si>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</si>
  <si>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</si>
  <si>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</si>
  <si>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</si>
  <si>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</si>
  <si>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</si>
  <si>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</si>
  <si>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</si>
  <si>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</si>
  <si>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</si>
  <si>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</si>
  <si>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</si>
  <si>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</si>
  <si>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</si>
  <si>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</si>
  <si>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</si>
  <si>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</si>
  <si>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</si>
  <si>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</si>
  <si>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</si>
  <si>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</si>
  <si>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</si>
  <si>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</si>
  <si>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</si>
  <si>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</si>
  <si>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</si>
  <si>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</si>
  <si>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</si>
  <si>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</si>
  <si>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</si>
  <si>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</si>
  <si>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</si>
  <si>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</si>
  <si>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</si>
  <si>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</si>
  <si>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</si>
  <si>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</si>
  <si>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</si>
  <si>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</si>
  <si>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</si>
  <si>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</si>
  <si>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</si>
  <si>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</si>
  <si>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</si>
  <si>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</si>
  <si>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</si>
  <si>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</si>
  <si>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</si>
  <si>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</si>
  <si>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</si>
  <si>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</si>
  <si>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</si>
  <si>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</si>
  <si>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</si>
  <si>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</si>
  <si>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</si>
  <si>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</si>
  <si>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</si>
  <si>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</si>
  <si>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</si>
  <si>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</si>
  <si>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</si>
  <si>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</si>
  <si>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</si>
  <si>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</si>
  <si>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</si>
  <si>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</si>
  <si>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</si>
  <si>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</si>
  <si>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</si>
  <si>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</si>
  <si>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</si>
  <si>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</si>
  <si>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</si>
  <si>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</si>
  <si>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</si>
  <si>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</si>
  <si>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</si>
  <si>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</si>
  <si>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</si>
  <si>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</si>
  <si>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</si>
  <si>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</si>
  <si>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</si>
  <si>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</si>
  <si>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</si>
  <si>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</si>
  <si>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</si>
  <si>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</si>
  <si>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</si>
  <si>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</si>
  <si>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</si>
  <si>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</si>
  <si>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</si>
  <si>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</si>
  <si>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</si>
  <si>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</si>
  <si>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</si>
  <si>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</si>
  <si>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</si>
  <si>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</si>
  <si>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</si>
  <si>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</si>
  <si>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</si>
  <si>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</si>
  <si>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</si>
  <si>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</si>
  <si>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</si>
  <si>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</si>
  <si>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</si>
  <si>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</si>
  <si>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</si>
  <si>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</si>
  <si>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</si>
  <si>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</si>
  <si>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</si>
  <si>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</si>
  <si>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</si>
  <si>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</si>
  <si>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</si>
  <si>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</si>
  <si>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</si>
  <si>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</si>
  <si>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</si>
  <si>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</si>
  <si>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</si>
  <si>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</si>
  <si>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</si>
  <si>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</si>
  <si>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</si>
  <si>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</si>
  <si>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</si>
  <si>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</si>
  <si>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</si>
  <si>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</si>
  <si>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</si>
  <si>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</si>
  <si>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</si>
  <si>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</si>
  <si>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</si>
  <si>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</si>
  <si>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</si>
  <si>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</si>
  <si>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</si>
  <si>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</si>
  <si>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</si>
  <si>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</si>
  <si>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</si>
  <si>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</si>
  <si>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</si>
  <si>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</si>
  <si>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</si>
  <si>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</si>
  <si>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</si>
  <si>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</si>
  <si>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</si>
  <si>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</si>
  <si>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</si>
  <si>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</si>
  <si>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</si>
  <si>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</si>
  <si>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</si>
  <si>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</si>
  <si>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</si>
  <si>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</si>
  <si>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</si>
  <si>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</si>
  <si>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</si>
  <si>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</si>
  <si>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</si>
  <si>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</si>
  <si>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</si>
  <si>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</si>
  <si>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</si>
  <si>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</si>
  <si>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</si>
  <si>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</si>
  <si>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</si>
  <si>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</si>
  <si>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</si>
  <si>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</si>
  <si>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</si>
  <si>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</si>
  <si>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</si>
  <si>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</si>
  <si>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</si>
  <si>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</si>
  <si>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</si>
  <si>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</si>
  <si>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</si>
  <si>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</si>
  <si>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</si>
  <si>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</si>
  <si>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</si>
  <si>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</si>
  <si>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</si>
  <si>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</si>
  <si>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</si>
  <si>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</si>
  <si>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</si>
  <si>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</si>
  <si>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</si>
  <si>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</si>
  <si>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</si>
  <si>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</si>
  <si>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</si>
  <si>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</si>
  <si>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</si>
  <si>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</si>
  <si>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</si>
  <si>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</si>
  <si>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</si>
  <si>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</si>
  <si>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</si>
  <si>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</si>
  <si>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</si>
  <si>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</si>
  <si>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</si>
  <si>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</si>
  <si>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</si>
  <si>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</si>
  <si>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</si>
  <si>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</si>
  <si>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</si>
  <si>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</si>
  <si>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</si>
  <si>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</si>
  <si>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</si>
  <si>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</si>
  <si>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</si>
  <si>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</si>
  <si>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</si>
  <si>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</si>
  <si>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</si>
  <si>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</si>
  <si>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</si>
  <si>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</si>
  <si>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</si>
  <si>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</si>
  <si>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</si>
  <si>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</si>
  <si>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</si>
  <si>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</si>
  <si>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</si>
  <si>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</si>
  <si>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</si>
  <si>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</si>
  <si>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</si>
  <si>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</si>
  <si>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</si>
  <si>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</si>
  <si>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</si>
  <si>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</si>
  <si>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</si>
  <si>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</si>
  <si>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</si>
  <si>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</si>
  <si>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</si>
  <si>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</si>
  <si>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</si>
  <si>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</si>
  <si>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</si>
  <si>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</si>
  <si>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</si>
  <si>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</si>
  <si>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</si>
  <si>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</si>
  <si>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</si>
  <si>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</si>
  <si>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</si>
  <si>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</si>
  <si>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</si>
  <si>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</si>
  <si>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</si>
  <si>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</si>
  <si>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</si>
  <si>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</si>
  <si>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</si>
  <si>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</si>
  <si>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</si>
  <si>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</si>
  <si>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</si>
  <si>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</si>
  <si>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</si>
  <si>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</si>
  <si>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</si>
  <si>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</si>
  <si>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</si>
  <si>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</si>
  <si>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</si>
  <si>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</si>
  <si>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</si>
  <si>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</si>
  <si>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</si>
  <si>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</si>
  <si>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</si>
  <si>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</si>
  <si>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</si>
  <si>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</si>
  <si>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</si>
  <si>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</si>
  <si>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</si>
  <si>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</si>
  <si>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</si>
  <si>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</si>
  <si>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</si>
  <si>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</si>
  <si>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</si>
  <si>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</si>
  <si>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</si>
  <si>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</si>
  <si>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</si>
  <si>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</si>
  <si>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</si>
  <si>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</si>
  <si>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</si>
  <si>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</si>
  <si>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</si>
  <si>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</si>
  <si>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</si>
  <si>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</si>
  <si>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</si>
  <si>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</si>
  <si>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</si>
  <si>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</si>
  <si>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</si>
  <si>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</si>
  <si>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</si>
  <si>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</si>
  <si>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</si>
  <si>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</si>
  <si>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</si>
  <si>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</si>
  <si>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</si>
  <si>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</si>
  <si>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</si>
  <si>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</si>
  <si>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</si>
  <si>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</si>
  <si>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</si>
  <si>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</si>
  <si>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</si>
  <si>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</si>
  <si>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</si>
  <si>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</si>
  <si>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</si>
  <si>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</si>
  <si>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</si>
  <si>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</si>
  <si>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</si>
  <si>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</si>
  <si>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</si>
  <si>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</si>
  <si>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</si>
  <si>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</si>
  <si>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</si>
  <si>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</si>
  <si>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</si>
  <si>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</si>
  <si>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</si>
  <si>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</si>
  <si>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</si>
  <si>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</si>
  <si>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</si>
  <si>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</si>
  <si>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</si>
  <si>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</si>
  <si>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</si>
  <si>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</si>
  <si>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</si>
  <si>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</si>
  <si>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</si>
  <si>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</si>
  <si>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</si>
  <si>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</si>
  <si>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</si>
  <si>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</si>
  <si>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</si>
  <si>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</si>
  <si>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</si>
  <si>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</si>
  <si>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</si>
  <si>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</si>
  <si>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</si>
  <si>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</si>
  <si>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</si>
  <si>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</si>
  <si>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</si>
  <si>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</si>
  <si>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</si>
  <si>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</si>
  <si>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</si>
  <si>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</si>
  <si>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</si>
  <si>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</si>
  <si>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</si>
  <si>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</si>
  <si>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</si>
  <si>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</si>
  <si>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</si>
  <si>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</si>
  <si>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</si>
  <si>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</si>
  <si>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</si>
  <si>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</si>
  <si>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</si>
  <si>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</si>
  <si>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</si>
  <si>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</si>
  <si>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</si>
  <si>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</si>
  <si>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</si>
  <si>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</si>
  <si>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</si>
  <si>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</si>
  <si>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</si>
  <si>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</si>
  <si>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</si>
  <si>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</si>
  <si>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</si>
  <si>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</si>
  <si>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</si>
  <si>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</si>
  <si>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</si>
  <si>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</si>
  <si>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</si>
  <si>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</si>
  <si>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</si>
  <si>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</si>
  <si>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</si>
  <si>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</si>
  <si>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</si>
  <si>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</si>
  <si>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</si>
  <si>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</si>
  <si>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</si>
  <si>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</si>
  <si>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</si>
  <si>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</si>
  <si>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</si>
  <si>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</si>
  <si>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</si>
  <si>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</si>
  <si>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</si>
  <si>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</si>
  <si>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</si>
  <si>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</si>
  <si>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</si>
  <si>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</si>
  <si>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</si>
  <si>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</si>
  <si>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</si>
  <si>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</si>
  <si>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</si>
  <si>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</si>
  <si>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</si>
  <si>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</si>
  <si>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</si>
  <si>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</si>
  <si>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</si>
  <si>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</si>
  <si>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</si>
  <si>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</si>
  <si>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</si>
  <si>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</si>
  <si>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</si>
  <si>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</si>
  <si>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</si>
  <si>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</si>
  <si>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</si>
  <si>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</si>
  <si>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</si>
  <si>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</si>
  <si>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</si>
  <si>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</si>
  <si>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</si>
  <si>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</si>
  <si>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</si>
  <si>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</si>
  <si>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</si>
  <si>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</si>
  <si>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</si>
  <si>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</si>
  <si>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</si>
  <si>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</si>
  <si>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</si>
  <si>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</si>
  <si>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</si>
  <si>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</si>
  <si>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</si>
  <si>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</si>
  <si>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</si>
  <si>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</si>
  <si>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</si>
  <si>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</si>
  <si>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</si>
  <si>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</si>
  <si>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</si>
  <si>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</si>
  <si>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</si>
  <si>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</si>
  <si>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</si>
  <si>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</si>
  <si>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</si>
  <si>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</si>
  <si>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</si>
  <si>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</si>
  <si>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</si>
  <si>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</si>
  <si>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</si>
  <si>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</si>
  <si>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</si>
  <si>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</si>
  <si>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</si>
  <si>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</si>
  <si>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</si>
  <si>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</si>
  <si>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</si>
  <si>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</si>
  <si>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</si>
  <si>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</si>
  <si>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</si>
  <si>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</si>
  <si>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</si>
  <si>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</si>
  <si>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</si>
  <si>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</si>
  <si>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</si>
  <si>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</si>
  <si>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</si>
  <si>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</si>
  <si>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</si>
  <si>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</si>
  <si>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</si>
  <si>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</si>
  <si>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</si>
  <si>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</si>
  <si>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</si>
  <si>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</si>
  <si>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</si>
  <si>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</si>
  <si>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</si>
  <si>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</si>
  <si>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</si>
  <si>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</si>
  <si>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</si>
  <si>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</si>
  <si>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</si>
  <si>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</si>
  <si>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</si>
  <si>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</si>
  <si>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</si>
  <si>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</si>
  <si>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</si>
  <si>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</si>
  <si>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</si>
  <si>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</si>
  <si>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</si>
  <si>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</si>
  <si>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</si>
  <si>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</si>
  <si>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</si>
  <si>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</si>
  <si>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</si>
  <si>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</si>
  <si>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</si>
  <si>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</si>
  <si>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</si>
  <si>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</si>
  <si>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</si>
  <si>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</si>
  <si>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</si>
  <si>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</si>
  <si>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</si>
  <si>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</si>
  <si>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</si>
  <si>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</si>
  <si>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</si>
  <si>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</si>
  <si>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</si>
  <si>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</si>
  <si>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</si>
  <si>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</si>
  <si>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</si>
  <si>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</si>
  <si>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</si>
  <si>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</si>
  <si>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</si>
  <si>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</si>
  <si>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</si>
  <si>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</si>
  <si>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</si>
  <si>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</si>
  <si>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</si>
  <si>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</si>
  <si>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</si>
  <si>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</si>
  <si>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</si>
  <si>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</si>
  <si>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</si>
  <si>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</si>
  <si>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</si>
  <si>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</si>
  <si>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</si>
  <si>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</si>
  <si>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</si>
  <si>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</si>
  <si>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</si>
  <si>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</si>
  <si>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</si>
  <si>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</si>
  <si>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</si>
  <si>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</si>
  <si>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</si>
  <si>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</si>
  <si>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</si>
  <si>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</si>
  <si>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</si>
  <si>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</si>
  <si>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</si>
  <si>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</si>
  <si>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</si>
  <si>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</si>
  <si>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</si>
  <si>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</si>
  <si>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</si>
  <si>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</si>
  <si>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</si>
  <si>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</si>
  <si>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</si>
  <si>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</si>
  <si>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</si>
  <si>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</si>
  <si>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</si>
  <si>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</si>
  <si>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</si>
  <si>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</si>
  <si>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</si>
  <si>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</si>
  <si>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</si>
  <si>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</si>
  <si>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</si>
  <si>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</si>
  <si>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</si>
  <si>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</si>
  <si>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</si>
  <si>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</si>
  <si>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</si>
  <si>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</si>
  <si>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</si>
  <si>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</si>
  <si>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</si>
  <si>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</si>
  <si>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</si>
  <si>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</si>
  <si>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</si>
  <si>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</si>
  <si>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</si>
  <si>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</si>
  <si>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</si>
  <si>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</si>
  <si>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</si>
  <si>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</si>
  <si>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</si>
  <si>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</si>
  <si>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</si>
  <si>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</si>
  <si>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</si>
  <si>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</si>
  <si>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</si>
  <si>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</si>
  <si>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</si>
  <si>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</si>
  <si>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</si>
  <si>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</si>
  <si>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</si>
  <si>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</si>
  <si>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</si>
  <si>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</si>
  <si>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</si>
  <si>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</si>
  <si>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</si>
  <si>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</si>
  <si>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</si>
  <si>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</si>
  <si>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</si>
  <si>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</si>
  <si>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</si>
  <si>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</si>
  <si>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</si>
  <si>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</si>
  <si>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</si>
  <si>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</si>
  <si>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</si>
  <si>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</si>
  <si>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</si>
  <si>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</si>
  <si>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</si>
  <si>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</si>
  <si>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</si>
  <si>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</si>
  <si>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</si>
  <si>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</si>
  <si>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</si>
  <si>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</si>
  <si>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</si>
  <si>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</si>
  <si>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</si>
  <si>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</si>
  <si>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</si>
  <si>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</si>
  <si>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</si>
  <si>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</si>
  <si>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</si>
  <si>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</si>
  <si>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</si>
  <si>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</si>
  <si>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</si>
  <si>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</si>
  <si>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</si>
  <si>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</si>
  <si>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</si>
  <si>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</si>
  <si>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</si>
  <si>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</si>
  <si>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</si>
  <si>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</si>
  <si>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</si>
  <si>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</si>
  <si>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</si>
  <si>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</si>
  <si>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</si>
  <si>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</si>
  <si>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</si>
  <si>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</si>
  <si>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</si>
  <si>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</si>
  <si>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</si>
  <si>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</si>
  <si>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</si>
  <si>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</si>
  <si>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</si>
  <si>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</si>
  <si>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</si>
  <si>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</si>
  <si>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</si>
  <si>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</si>
  <si>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</si>
  <si>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</si>
  <si>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</si>
  <si>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</si>
  <si>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</si>
  <si>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</si>
  <si>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</si>
  <si>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</si>
  <si>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</si>
  <si>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</si>
  <si>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</si>
  <si>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</si>
  <si>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</si>
  <si>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</si>
  <si>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</si>
  <si>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</si>
  <si>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</si>
  <si>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</si>
  <si>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</si>
  <si>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</si>
  <si>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</si>
  <si>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</si>
  <si>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</si>
  <si>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</si>
  <si>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</si>
  <si>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</si>
  <si>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</si>
  <si>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</si>
  <si>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</si>
  <si>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</si>
  <si>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</si>
  <si>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</si>
  <si>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</si>
  <si>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</si>
  <si>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</si>
  <si>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</si>
  <si>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</si>
  <si>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</si>
  <si>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</si>
  <si>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</si>
  <si>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</si>
  <si>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</si>
  <si>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</si>
  <si>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</si>
  <si>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</si>
  <si>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</si>
  <si>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</si>
  <si>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</si>
  <si>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</si>
  <si>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</si>
  <si>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</si>
  <si>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</si>
  <si>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</si>
  <si>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</si>
  <si>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</si>
  <si>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</si>
  <si>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</si>
  <si>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</si>
  <si>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</si>
  <si>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</si>
  <si>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</si>
  <si>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</si>
  <si>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</si>
  <si>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</si>
  <si>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</si>
  <si>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</si>
  <si>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</si>
  <si>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</si>
  <si>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</si>
  <si>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</si>
  <si>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</si>
  <si>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</si>
  <si>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</si>
  <si>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</si>
  <si>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</si>
  <si>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</si>
  <si>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</si>
  <si>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</si>
  <si>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</si>
  <si>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</si>
  <si>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</si>
  <si>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</si>
  <si>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</si>
  <si>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</si>
  <si>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</si>
  <si>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</si>
  <si>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</si>
  <si>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</si>
  <si>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</si>
  <si>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</si>
  <si>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</si>
  <si>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</si>
  <si>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</si>
  <si>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</si>
  <si>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</si>
  <si>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</si>
  <si>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</si>
  <si>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</si>
  <si>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</si>
  <si>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</si>
  <si>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</si>
  <si>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</si>
  <si>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</si>
  <si>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</si>
  <si>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</si>
  <si>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</si>
  <si>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</si>
  <si>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</si>
  <si>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</si>
  <si>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</si>
  <si>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</si>
  <si>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</si>
  <si>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</si>
  <si>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</si>
  <si>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</si>
  <si>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</si>
  <si>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</si>
  <si>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</si>
  <si>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</si>
  <si>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</si>
  <si>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</si>
  <si>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</si>
  <si>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</si>
  <si>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</si>
  <si>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</si>
  <si>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</si>
  <si>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</si>
  <si>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</si>
  <si>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</si>
  <si>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</si>
  <si>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</si>
  <si>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</si>
  <si>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</si>
  <si>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</si>
  <si>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</si>
  <si>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</si>
  <si>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</si>
  <si>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</si>
  <si>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</si>
  <si>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</si>
  <si>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</si>
  <si>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</si>
  <si>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</si>
  <si>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</si>
  <si>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</si>
  <si>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</si>
  <si>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</si>
  <si>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</si>
  <si>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</si>
  <si>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</si>
  <si>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</si>
  <si>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</si>
  <si>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</si>
  <si>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</si>
  <si>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</si>
  <si>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</si>
  <si>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</si>
  <si>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</si>
  <si>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</si>
  <si>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</si>
  <si>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</si>
  <si>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</si>
  <si>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</si>
  <si>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</si>
  <si>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</si>
  <si>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</si>
  <si>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</si>
  <si>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</si>
  <si>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</si>
  <si>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</si>
  <si>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</si>
  <si>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</si>
  <si>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</si>
  <si>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</si>
  <si>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</si>
  <si>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</si>
  <si>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</si>
  <si>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</si>
  <si>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</si>
  <si>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</si>
  <si>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</si>
  <si>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</si>
  <si>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</si>
  <si>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</si>
  <si>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</si>
  <si>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</si>
  <si>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</si>
  <si>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</si>
  <si>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</si>
  <si>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</si>
  <si>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</si>
  <si>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</si>
  <si>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</si>
  <si>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</si>
  <si>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</si>
  <si>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</si>
  <si>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</si>
  <si>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</si>
  <si>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</si>
  <si>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</si>
  <si>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</si>
  <si>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</si>
  <si>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</si>
  <si>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</si>
  <si>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</si>
  <si>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</si>
  <si>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</si>
  <si>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</si>
  <si>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</si>
  <si>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</si>
  <si>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</si>
  <si>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</si>
  <si>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</si>
  <si>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</si>
  <si>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</si>
  <si>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</si>
  <si>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</si>
  <si>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</si>
  <si>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</si>
  <si>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</si>
  <si>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</si>
  <si>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</si>
  <si>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</si>
  <si>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</si>
  <si>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</si>
  <si>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</si>
  <si>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</si>
  <si>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</si>
  <si>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</si>
  <si>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</si>
  <si>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</si>
  <si>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</si>
  <si>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</si>
  <si>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</si>
  <si>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</si>
  <si>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</si>
  <si>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</si>
  <si>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</si>
  <si>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</si>
  <si>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</si>
  <si>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</si>
  <si>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</si>
  <si>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</si>
  <si>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</si>
  <si>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</si>
  <si>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</si>
  <si>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</si>
  <si>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</si>
  <si>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</si>
  <si>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</si>
  <si>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</si>
  <si>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</si>
  <si>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</si>
  <si>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</si>
  <si>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</si>
  <si>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</si>
  <si>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</si>
  <si>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</si>
  <si>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</si>
  <si>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</si>
  <si>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</si>
  <si>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</si>
  <si>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</si>
  <si>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</si>
  <si>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</si>
  <si>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</si>
  <si>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</si>
  <si>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</si>
  <si>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</si>
  <si>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</si>
  <si>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</si>
  <si>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</si>
  <si>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</si>
  <si>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</si>
  <si>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</si>
  <si>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</si>
  <si>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</si>
  <si>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</si>
  <si>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</si>
  <si>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</si>
  <si>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</si>
  <si>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</si>
  <si>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</si>
  <si>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</si>
  <si>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</si>
  <si>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</si>
  <si>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</si>
  <si>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</si>
  <si>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</si>
  <si>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</si>
  <si>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</si>
  <si>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</si>
  <si>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</si>
  <si>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</si>
  <si>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</si>
  <si>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</si>
  <si>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</si>
  <si>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</si>
  <si>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</si>
  <si>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</si>
  <si>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</si>
  <si>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</si>
  <si>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</si>
  <si>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</si>
  <si>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</si>
  <si>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</si>
  <si>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</si>
  <si>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</si>
  <si>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</si>
  <si>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</si>
  <si>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</si>
  <si>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</si>
  <si>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</si>
  <si>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</si>
  <si>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</si>
  <si>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</si>
  <si>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</si>
  <si>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</si>
  <si>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</si>
  <si>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</si>
  <si>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</si>
  <si>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</si>
  <si>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</si>
  <si>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</si>
  <si>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</si>
  <si>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</si>
  <si>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</si>
  <si>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</si>
  <si>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</si>
  <si>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</si>
  <si>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</si>
  <si>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</si>
  <si>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</si>
  <si>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</si>
  <si>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</si>
  <si>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</si>
  <si>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</si>
  <si>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</si>
  <si>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</si>
  <si>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</si>
  <si>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</si>
  <si>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</si>
  <si>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</si>
  <si>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</si>
  <si>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</si>
  <si>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</si>
  <si>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</si>
  <si>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</si>
  <si>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</si>
  <si>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</si>
  <si>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</si>
  <si>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</si>
  <si>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</si>
  <si>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</si>
  <si>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</si>
  <si>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</si>
  <si>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</si>
  <si>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</si>
  <si>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</si>
  <si>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</si>
  <si>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</si>
  <si>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</si>
  <si>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</si>
  <si>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</si>
  <si>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</si>
  <si>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</si>
  <si>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</si>
  <si>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</si>
  <si>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</si>
  <si>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</si>
  <si>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</si>
  <si>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</si>
  <si>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</si>
  <si>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</si>
  <si>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</si>
  <si>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</si>
  <si>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</si>
  <si>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</si>
  <si>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</si>
  <si>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</si>
  <si>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</si>
  <si>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</si>
  <si>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</si>
  <si>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</si>
  <si>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</si>
  <si>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</si>
  <si>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</si>
  <si>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</si>
  <si>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</si>
  <si>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</si>
  <si>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</si>
  <si>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</si>
  <si>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</si>
  <si>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</si>
  <si>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</si>
  <si>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</si>
  <si>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</si>
  <si>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</si>
  <si>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</si>
  <si>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</si>
  <si>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</si>
  <si>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</si>
  <si>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</si>
  <si>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</si>
  <si>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</si>
  <si>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</si>
  <si>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</si>
  <si>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</si>
  <si>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</si>
  <si>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</si>
  <si>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</si>
  <si>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</si>
  <si>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</si>
  <si>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</si>
  <si>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</si>
  <si>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</si>
  <si>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</si>
  <si>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</si>
  <si>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</si>
  <si>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</si>
  <si>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</si>
  <si>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</si>
  <si>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</si>
  <si>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</si>
  <si>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</si>
  <si>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</si>
  <si>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</si>
  <si>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</si>
  <si>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</si>
  <si>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</si>
  <si>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</si>
  <si>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</si>
  <si>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</si>
  <si>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</si>
  <si>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</si>
  <si>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</si>
  <si>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</si>
  <si>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</si>
  <si>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</si>
  <si>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</si>
  <si>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</si>
  <si>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</si>
  <si>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</si>
  <si>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</si>
  <si>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</si>
  <si>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</si>
  <si>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</si>
  <si>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</si>
  <si>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</si>
  <si>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</si>
  <si>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</si>
  <si>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</si>
  <si>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</si>
  <si>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</si>
  <si>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</si>
  <si>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</si>
  <si>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</si>
  <si>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</si>
  <si>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</si>
  <si>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</si>
  <si>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</si>
  <si>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</si>
  <si>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</si>
  <si>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</si>
  <si>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</si>
  <si>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</si>
  <si>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</si>
  <si>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</si>
  <si>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</si>
  <si>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</si>
  <si>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</si>
  <si>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</si>
  <si>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</si>
  <si>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</si>
  <si>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</si>
  <si>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</si>
  <si>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</si>
  <si>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</si>
  <si>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</si>
  <si>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</si>
  <si>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</si>
  <si>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</si>
  <si>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</si>
  <si>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</si>
  <si>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</si>
  <si>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</si>
  <si>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</si>
  <si>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</si>
  <si>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</si>
  <si>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</si>
  <si>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</si>
  <si>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</si>
  <si>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</si>
  <si>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</si>
  <si>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</si>
  <si>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</si>
  <si>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</si>
  <si>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</si>
  <si>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</si>
  <si>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</si>
  <si>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</si>
  <si>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</si>
  <si>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</si>
  <si>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</si>
  <si>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</si>
  <si>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</si>
  <si>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</si>
  <si>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</si>
  <si>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</si>
  <si>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</si>
  <si>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</si>
  <si>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</si>
  <si>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</si>
  <si>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</si>
  <si>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</si>
  <si>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</si>
  <si>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</si>
  <si>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</si>
  <si>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</si>
  <si>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</si>
  <si>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</si>
  <si>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</si>
  <si>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</si>
  <si>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</si>
  <si>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</si>
  <si>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</si>
  <si>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</si>
  <si>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</si>
  <si>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</si>
  <si>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</si>
  <si>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</si>
  <si>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</si>
  <si>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</si>
  <si>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</si>
  <si>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</si>
  <si>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</si>
  <si>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</si>
  <si>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</si>
  <si>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</si>
  <si>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</si>
  <si>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</si>
  <si>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</si>
  <si>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</si>
  <si>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</si>
  <si>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</si>
  <si>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</si>
  <si>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</si>
  <si>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</si>
  <si>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</si>
  <si>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</si>
  <si>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</si>
  <si>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</si>
  <si>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</si>
  <si>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</si>
  <si>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</si>
  <si>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</si>
  <si>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</si>
  <si>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</si>
  <si>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</si>
  <si>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</si>
  <si>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</si>
  <si>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</si>
  <si>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</si>
  <si>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</si>
  <si>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</si>
  <si>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</si>
  <si>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</si>
  <si>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</si>
  <si>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</si>
  <si>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</si>
  <si>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</si>
  <si>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</si>
  <si>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</si>
  <si>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</si>
  <si>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</si>
  <si>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</si>
  <si>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</si>
  <si>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</si>
  <si>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</si>
  <si>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</si>
  <si>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</si>
  <si>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</si>
  <si>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</si>
  <si>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</si>
  <si>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</si>
  <si>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</si>
  <si>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</si>
  <si>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</si>
  <si>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</si>
  <si>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</si>
  <si>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</si>
  <si>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</si>
  <si>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</si>
  <si>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</si>
  <si>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</si>
  <si>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</si>
  <si>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</si>
  <si>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</si>
  <si>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</si>
  <si>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</si>
  <si>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</si>
  <si>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</si>
  <si>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</si>
  <si>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</si>
  <si>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</si>
  <si>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</si>
  <si>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</si>
  <si>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</si>
  <si>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</si>
  <si>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</si>
  <si>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</si>
  <si>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</si>
  <si>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</si>
  <si>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</si>
  <si>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</si>
  <si>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</si>
  <si>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</si>
  <si>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</si>
  <si>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</si>
  <si>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</si>
  <si>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</si>
  <si>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</si>
  <si>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</si>
  <si>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</si>
  <si>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</si>
  <si>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</si>
  <si>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</si>
  <si>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</si>
  <si>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</si>
  <si>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</si>
  <si>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</si>
  <si>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</si>
  <si>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</si>
  <si>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</si>
  <si>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</si>
  <si>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</si>
  <si>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</si>
  <si>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</si>
  <si>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</si>
  <si>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</si>
  <si>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</si>
  <si>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</si>
  <si>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</si>
  <si>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</si>
  <si>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</si>
  <si>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</si>
  <si>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</si>
  <si>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</si>
  <si>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</si>
  <si>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</si>
  <si>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</si>
  <si>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</si>
  <si>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</si>
  <si>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</si>
  <si>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</si>
  <si>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</si>
  <si>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</si>
  <si>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</si>
  <si>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</si>
  <si>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</si>
  <si>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</si>
  <si>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</si>
  <si>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</si>
  <si>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</si>
  <si>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</si>
  <si>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</si>
  <si>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</si>
  <si>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</si>
  <si>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</si>
  <si>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</si>
  <si>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</si>
  <si>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</si>
  <si>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</si>
  <si>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</si>
  <si>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</si>
  <si>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</si>
  <si>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</si>
  <si>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</si>
  <si>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</si>
  <si>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</si>
  <si>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</si>
  <si>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</si>
  <si>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</si>
  <si>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</si>
  <si>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</si>
  <si>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</si>
  <si>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</si>
  <si>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</si>
  <si>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</si>
  <si>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</si>
  <si>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</si>
  <si>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</si>
  <si>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</si>
  <si>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</si>
  <si>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</si>
  <si>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</si>
  <si>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</si>
  <si>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</si>
  <si>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</si>
  <si>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</si>
  <si>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</si>
  <si>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</si>
  <si>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</si>
  <si>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</si>
  <si>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</si>
  <si>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</si>
  <si>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</si>
  <si>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</si>
  <si>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</si>
  <si>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</si>
  <si>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</si>
  <si>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</si>
  <si>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</si>
  <si>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</si>
  <si>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</si>
  <si>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</si>
  <si>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</si>
  <si>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</si>
  <si>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</si>
  <si>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</si>
  <si>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</si>
  <si>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</si>
  <si>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</si>
  <si>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</si>
  <si>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</si>
  <si>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</si>
  <si>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</si>
  <si>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</si>
  <si>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</si>
  <si>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</si>
  <si>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</si>
  <si>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</si>
  <si>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</si>
  <si>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</si>
  <si>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</si>
  <si>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</si>
  <si>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</si>
  <si>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</si>
  <si>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</si>
  <si>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</si>
  <si>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</si>
  <si>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</si>
  <si>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</si>
  <si>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</si>
  <si>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</si>
  <si>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</si>
  <si>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</si>
  <si>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</si>
  <si>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</si>
  <si>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</si>
  <si>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</si>
  <si>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</si>
  <si>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</si>
  <si>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</si>
  <si>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</si>
  <si>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</si>
  <si>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</si>
  <si>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</si>
  <si>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</si>
  <si>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</si>
  <si>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</si>
  <si>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</si>
  <si>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</si>
  <si>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</si>
  <si>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</si>
  <si>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</si>
  <si>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</si>
  <si>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</si>
  <si>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</si>
  <si>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</si>
  <si>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</si>
  <si>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</si>
  <si>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</si>
  <si>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</si>
  <si>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</si>
  <si>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</si>
  <si>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</si>
  <si>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</si>
  <si>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</si>
  <si>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</si>
  <si>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</si>
  <si>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</si>
  <si>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</si>
  <si>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</si>
  <si>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</si>
  <si>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</si>
  <si>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</si>
  <si>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</si>
  <si>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</si>
  <si>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</si>
  <si>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</si>
  <si>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</si>
  <si>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</si>
  <si>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</si>
  <si>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</si>
  <si>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</si>
  <si>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</si>
  <si>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</si>
  <si>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</si>
  <si>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</si>
  <si>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</si>
  <si>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</si>
  <si>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</si>
  <si>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</si>
  <si>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</si>
  <si>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</si>
  <si>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</si>
  <si>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</si>
  <si>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</si>
  <si>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</si>
  <si>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</si>
  <si>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</si>
  <si>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</si>
  <si>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</si>
  <si>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</si>
  <si>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</si>
  <si>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</si>
  <si>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</si>
  <si>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</si>
  <si>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</si>
  <si>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</si>
  <si>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</si>
  <si>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</si>
  <si>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</si>
  <si>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</si>
  <si>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</si>
  <si>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</si>
  <si>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</si>
  <si>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</si>
  <si>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</si>
  <si>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</si>
  <si>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</si>
  <si>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</si>
  <si>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</si>
  <si>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</si>
  <si>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</si>
  <si>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</si>
  <si>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</si>
  <si>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</si>
  <si>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</si>
  <si>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</si>
  <si>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</si>
  <si>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</si>
  <si>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</si>
  <si>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</si>
  <si>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</si>
  <si>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</si>
  <si>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</si>
  <si>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</si>
  <si>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</si>
  <si>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</si>
  <si>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</si>
  <si>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</si>
  <si>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</si>
  <si>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</si>
  <si>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</si>
  <si>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</si>
  <si>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</si>
  <si>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</si>
  <si>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</si>
  <si>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</si>
  <si>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</si>
  <si>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</si>
  <si>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</si>
  <si>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</si>
  <si>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</si>
  <si>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</si>
  <si>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</si>
  <si>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</si>
  <si>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</si>
  <si>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</si>
  <si>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</si>
  <si>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</si>
  <si>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</si>
  <si>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</si>
  <si>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</si>
  <si>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</si>
  <si>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</si>
  <si>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</si>
  <si>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</si>
  <si>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</si>
  <si>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</si>
  <si>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</si>
  <si>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</si>
  <si>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</si>
  <si>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</si>
  <si>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</si>
  <si>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</si>
  <si>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</si>
  <si>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</si>
  <si>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</si>
  <si>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</si>
  <si>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</si>
  <si>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</si>
  <si>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</si>
  <si>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</si>
  <si>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</si>
  <si>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</si>
  <si>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</si>
  <si>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</si>
  <si>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</si>
  <si>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</si>
  <si>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</si>
  <si>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</si>
  <si>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</si>
  <si>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</si>
  <si>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</si>
  <si>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</si>
  <si>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</si>
  <si>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</si>
  <si>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</si>
  <si>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</si>
  <si>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</si>
  <si>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</si>
  <si>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</si>
  <si>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</si>
  <si>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</si>
  <si>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</si>
  <si>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</si>
  <si>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</si>
  <si>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</si>
  <si>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</si>
  <si>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</si>
  <si>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</si>
  <si>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</si>
  <si>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</si>
  <si>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</si>
  <si>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</si>
  <si>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</si>
  <si>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</si>
  <si>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</si>
  <si>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</si>
  <si>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</si>
  <si>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</si>
  <si>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</si>
  <si>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</si>
  <si>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</si>
  <si>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</si>
  <si>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</si>
  <si>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</si>
  <si>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</si>
  <si>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</si>
  <si>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</si>
  <si>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</si>
  <si>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</si>
  <si>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</si>
  <si>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</si>
  <si>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</si>
  <si>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</si>
  <si>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</si>
  <si>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</si>
  <si>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</si>
  <si>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</si>
  <si>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</si>
  <si>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</si>
  <si>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</si>
  <si>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</si>
  <si>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</si>
  <si>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</si>
  <si>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</si>
  <si>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</si>
  <si>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</si>
  <si>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</si>
  <si>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</si>
  <si>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</si>
  <si>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</si>
  <si>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</si>
  <si>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</si>
  <si>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</si>
  <si>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</si>
  <si>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</si>
  <si>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</si>
  <si>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</si>
  <si>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</si>
  <si>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</si>
  <si>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</si>
  <si>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</si>
  <si>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</si>
  <si>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</si>
  <si>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</si>
  <si>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</si>
  <si>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</si>
  <si>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</si>
  <si>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</si>
  <si>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</si>
  <si>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</si>
  <si>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</si>
  <si>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</si>
  <si>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</si>
  <si>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</si>
  <si>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</si>
  <si>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</si>
  <si>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</si>
  <si>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</si>
  <si>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</si>
  <si>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</si>
  <si>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</si>
  <si>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</si>
  <si>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</si>
  <si>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</si>
  <si>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</si>
  <si>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</si>
  <si>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</si>
  <si>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</si>
  <si>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</si>
  <si>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</si>
  <si>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</si>
  <si>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</si>
  <si>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</si>
  <si>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</si>
  <si>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</si>
  <si>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</si>
  <si>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</si>
  <si>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</si>
  <si>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</si>
  <si>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</si>
  <si>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</si>
  <si>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</si>
  <si>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</si>
  <si>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</si>
  <si>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</si>
  <si>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</si>
  <si>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</si>
  <si>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</si>
  <si>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</si>
  <si>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</si>
  <si>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</si>
  <si>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</si>
  <si>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</si>
  <si>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</si>
  <si>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</si>
  <si>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</si>
  <si>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</si>
  <si>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</si>
  <si>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</si>
  <si>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</si>
  <si>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</si>
  <si>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</si>
  <si>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</si>
  <si>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</si>
  <si>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</si>
  <si>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</si>
  <si>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</si>
  <si>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</si>
  <si>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</si>
  <si>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</si>
  <si>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</si>
  <si>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</si>
  <si>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</si>
  <si>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</si>
  <si>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</si>
  <si>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</si>
  <si>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</si>
  <si>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</si>
  <si>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</si>
  <si>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</si>
  <si>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</si>
  <si>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</si>
  <si>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</si>
  <si>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</si>
  <si>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</si>
  <si>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</si>
  <si>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</si>
  <si>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</si>
  <si>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</si>
  <si>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</si>
  <si>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</si>
  <si>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</si>
  <si>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</si>
  <si>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</si>
  <si>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</si>
  <si>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</si>
  <si>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</si>
  <si>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</si>
  <si>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</si>
  <si>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</si>
  <si>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</si>
  <si>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</si>
  <si>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</si>
  <si>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</si>
  <si>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</si>
  <si>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</si>
  <si>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</si>
  <si>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</si>
  <si>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</si>
  <si>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</si>
  <si>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</si>
  <si>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</si>
  <si>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</si>
  <si>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</si>
  <si>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</si>
  <si>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</si>
  <si>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</si>
  <si>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</si>
  <si>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</si>
  <si>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</si>
  <si>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</si>
  <si>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</si>
  <si>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</si>
  <si>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</si>
  <si>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</si>
  <si>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</si>
  <si>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</si>
  <si>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</si>
  <si>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</si>
  <si>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</si>
  <si>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</si>
  <si>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</si>
  <si>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</si>
  <si>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</si>
  <si>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</si>
  <si>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</si>
  <si>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</si>
  <si>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</si>
  <si>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</si>
  <si>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</si>
  <si>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</si>
  <si>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</si>
  <si>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</si>
  <si>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</si>
  <si>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</si>
  <si>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</si>
  <si>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</si>
  <si>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</si>
  <si>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</si>
  <si>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</si>
  <si>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</si>
  <si>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</si>
  <si>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</si>
  <si>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</si>
  <si>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</si>
  <si>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</si>
  <si>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</si>
  <si>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</si>
  <si>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</si>
  <si>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</si>
  <si>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</si>
  <si>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</si>
  <si>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</si>
  <si>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</si>
  <si>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</si>
  <si>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</si>
  <si>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</si>
  <si>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</si>
  <si>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</si>
  <si>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</si>
  <si>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</si>
  <si>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</si>
  <si>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</si>
  <si>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</si>
  <si>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</si>
  <si>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</si>
  <si>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</si>
  <si>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</si>
  <si>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</si>
  <si>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</si>
  <si>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</si>
  <si>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</si>
  <si>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</si>
  <si>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</si>
  <si>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</si>
  <si>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</si>
  <si>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</si>
  <si>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</si>
  <si>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</si>
  <si>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</si>
  <si>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</si>
  <si>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</si>
  <si>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</si>
  <si>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</si>
  <si>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</si>
  <si>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</si>
  <si>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</si>
  <si>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</si>
  <si>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</si>
  <si>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</si>
  <si>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</si>
  <si>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</si>
  <si>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</si>
  <si>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</si>
  <si>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</si>
  <si>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</si>
  <si>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</si>
  <si>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</si>
  <si>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</si>
  <si>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</si>
  <si>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</si>
  <si>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</si>
  <si>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</si>
  <si>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</si>
  <si>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</si>
  <si>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</si>
  <si>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</si>
  <si>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</si>
  <si>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</si>
  <si>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</si>
  <si>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</si>
  <si>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</si>
  <si>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</si>
  <si>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</si>
  <si>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</si>
  <si>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</si>
  <si>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</si>
  <si>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</si>
  <si>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</si>
  <si>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</si>
  <si>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</si>
  <si>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</si>
  <si>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</si>
  <si>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</si>
  <si>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</si>
  <si>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</si>
  <si>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</si>
  <si>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</si>
  <si>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</si>
  <si>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</si>
  <si>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</si>
  <si>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</si>
  <si>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</si>
  <si>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</si>
  <si>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</si>
  <si>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</si>
  <si>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</si>
  <si>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</si>
  <si>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</si>
  <si>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</si>
  <si>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</si>
  <si>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</si>
  <si>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</si>
  <si>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</si>
  <si>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</si>
  <si>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</si>
  <si>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</si>
  <si>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</si>
  <si>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</si>
  <si>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</si>
  <si>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</si>
  <si>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</si>
  <si>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</si>
  <si>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</si>
  <si>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</si>
  <si>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</si>
  <si>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</si>
  <si>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</si>
  <si>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</si>
  <si>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</si>
  <si>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</si>
  <si>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</si>
  <si>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</si>
  <si>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</si>
  <si>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</si>
  <si>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</si>
  <si>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</si>
  <si>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</si>
  <si>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</si>
  <si>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</si>
  <si>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</si>
  <si>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</si>
  <si>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</si>
  <si>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</si>
  <si>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</si>
  <si>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</si>
  <si>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</si>
  <si>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</si>
  <si>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</si>
  <si>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</si>
  <si>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</si>
  <si>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</si>
  <si>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</si>
  <si>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</si>
  <si>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</si>
  <si>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</si>
  <si>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</si>
  <si>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</si>
  <si>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</si>
  <si>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</si>
  <si>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</si>
  <si>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</si>
  <si>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</si>
  <si>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</si>
  <si>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</si>
  <si>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</si>
  <si>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</si>
  <si>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</si>
  <si>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</si>
  <si>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</si>
  <si>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</si>
  <si>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</si>
  <si>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</si>
  <si>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</si>
  <si>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</si>
  <si>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</si>
  <si>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</si>
  <si>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</si>
  <si>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</si>
  <si>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</si>
  <si>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</si>
  <si>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</si>
  <si>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</si>
  <si>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</si>
  <si>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</si>
  <si>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</si>
  <si>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</si>
  <si>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</si>
  <si>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</si>
  <si>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</si>
  <si>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</si>
  <si>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</si>
  <si>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</si>
  <si>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</si>
  <si>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</si>
  <si>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</si>
  <si>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</si>
  <si>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</si>
  <si>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</si>
  <si>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</si>
  <si>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</si>
  <si>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</si>
  <si>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</si>
  <si>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</si>
  <si>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</si>
  <si>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</si>
  <si>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</si>
  <si>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</si>
  <si>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</si>
  <si>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</si>
  <si>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</si>
  <si>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</si>
  <si>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</si>
  <si>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</si>
  <si>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</si>
  <si>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</si>
  <si>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</si>
  <si>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</si>
  <si>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</si>
  <si>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</si>
  <si>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</si>
  <si>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</si>
  <si>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</si>
  <si>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</si>
  <si>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</si>
  <si>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</si>
  <si>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</si>
  <si>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</si>
  <si>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</si>
  <si>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</si>
  <si>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</si>
  <si>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</si>
  <si>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</si>
  <si>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</si>
  <si>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</si>
  <si>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</si>
  <si>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</si>
  <si>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</si>
  <si>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</si>
  <si>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</si>
  <si>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</si>
  <si>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</si>
  <si>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</si>
  <si>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</si>
  <si>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</si>
  <si>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</si>
  <si>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</si>
  <si>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</si>
  <si>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</si>
  <si>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</si>
  <si>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</si>
  <si>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</si>
  <si>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</si>
  <si>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</si>
  <si>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</si>
  <si>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</si>
  <si>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</si>
  <si>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</si>
  <si>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</si>
  <si>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</si>
  <si>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</si>
  <si>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</si>
  <si>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</si>
  <si>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</si>
  <si>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</si>
  <si>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</si>
  <si>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</si>
  <si>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</si>
  <si>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</si>
  <si>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</si>
  <si>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</si>
  <si>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</si>
  <si>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</si>
  <si>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</si>
  <si>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</si>
  <si>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</si>
  <si>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</si>
  <si>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</si>
  <si>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</si>
  <si>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</si>
  <si>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</si>
  <si>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</si>
  <si>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</si>
  <si>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</si>
  <si>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</si>
  <si>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</si>
  <si>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</si>
  <si>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</si>
  <si>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</si>
  <si>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</si>
  <si>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</si>
  <si>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</si>
  <si>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</si>
  <si>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</si>
  <si>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</si>
  <si>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</si>
  <si>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</si>
  <si>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</si>
  <si>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</si>
  <si>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</si>
  <si>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</si>
  <si>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</si>
  <si>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</si>
  <si>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</si>
  <si>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</si>
  <si>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</si>
  <si>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</si>
  <si>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</si>
  <si>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</si>
  <si>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</si>
  <si>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</si>
  <si>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</si>
  <si>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</si>
  <si>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</si>
  <si>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</si>
  <si>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</si>
  <si>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</si>
  <si>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</si>
  <si>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</si>
  <si>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</si>
  <si>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</si>
  <si>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</si>
  <si>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</si>
  <si>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</si>
  <si>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</si>
  <si>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</si>
  <si>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</si>
  <si>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</si>
  <si>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</si>
  <si>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</si>
  <si>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</si>
  <si>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</si>
  <si>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</si>
  <si>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</si>
  <si>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</si>
  <si>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</si>
  <si>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</si>
  <si>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</si>
  <si>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</si>
  <si>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</si>
  <si>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</si>
  <si>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</si>
  <si>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</si>
  <si>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</si>
  <si>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</si>
  <si>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</si>
  <si>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</si>
  <si>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</si>
  <si>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</si>
  <si>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</si>
  <si>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</si>
  <si>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</si>
  <si>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</si>
  <si>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</si>
  <si>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</si>
  <si>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</si>
  <si>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</si>
  <si>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</si>
  <si>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</si>
  <si>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</si>
  <si>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</si>
  <si>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</si>
  <si>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</si>
  <si>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</si>
  <si>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</si>
  <si>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</si>
  <si>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</si>
  <si>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</si>
  <si>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</si>
  <si>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</si>
  <si>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</si>
  <si>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</si>
  <si>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</si>
  <si>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</si>
  <si>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</si>
  <si>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</si>
  <si>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</si>
  <si>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</si>
  <si>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</si>
  <si>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</si>
  <si>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</si>
  <si>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</si>
  <si>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</si>
  <si>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</si>
  <si>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</si>
  <si>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</si>
  <si>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</si>
  <si>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</si>
  <si>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</si>
  <si>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</si>
  <si>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</si>
  <si>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</si>
  <si>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</si>
  <si>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</si>
  <si>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</si>
  <si>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</si>
  <si>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</si>
  <si>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</si>
  <si>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</si>
  <si>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</si>
  <si>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</si>
  <si>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</si>
  <si>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</si>
  <si>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</si>
  <si>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</si>
  <si>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</si>
  <si>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</si>
  <si>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</si>
  <si>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</si>
  <si>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</si>
  <si>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</si>
  <si>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</si>
  <si>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</si>
  <si>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</si>
  <si>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</si>
  <si>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</si>
  <si>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</si>
  <si>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</si>
  <si>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</si>
  <si>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</si>
  <si>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</si>
  <si>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</si>
  <si>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</si>
  <si>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</si>
  <si>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</si>
  <si>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</si>
  <si>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</si>
  <si>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</si>
  <si>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</si>
  <si>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</si>
  <si>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</si>
  <si>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</si>
  <si>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</si>
  <si>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</si>
  <si>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</si>
  <si>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</si>
  <si>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</si>
  <si>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</si>
  <si>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</si>
  <si>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</si>
  <si>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</si>
  <si>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</si>
  <si>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</si>
  <si>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</si>
  <si>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</si>
  <si>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</si>
  <si>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</si>
  <si>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</si>
  <si>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</si>
  <si>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</si>
  <si>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</si>
  <si>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</si>
  <si>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</si>
  <si>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</si>
  <si>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</si>
  <si>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</si>
  <si>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</si>
  <si>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</si>
  <si>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</si>
  <si>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</si>
  <si>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</si>
  <si>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</si>
  <si>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</si>
  <si>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</si>
  <si>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</si>
  <si>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</si>
  <si>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</si>
  <si>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</si>
  <si>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</si>
  <si>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</si>
  <si>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</si>
  <si>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</si>
  <si>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</si>
  <si>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</si>
  <si>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</si>
  <si>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</si>
  <si>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</si>
  <si>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</si>
  <si>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</si>
  <si>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</si>
  <si>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</si>
  <si>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</si>
  <si>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</si>
  <si>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</si>
  <si>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</si>
  <si>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</si>
  <si>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</si>
  <si>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</si>
  <si>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</si>
  <si>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</si>
  <si>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</si>
  <si>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</si>
  <si>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</si>
  <si>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</si>
  <si>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</si>
  <si>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</si>
  <si>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</si>
  <si>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</si>
  <si>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</si>
  <si>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</si>
  <si>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</si>
  <si>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</si>
  <si>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</si>
  <si>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</si>
  <si>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</si>
  <si>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</si>
  <si>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</si>
  <si>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</si>
  <si>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</si>
  <si>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</si>
  <si>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</si>
  <si>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</si>
  <si>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</si>
  <si>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</si>
  <si>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</si>
  <si>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</si>
  <si>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</si>
  <si>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</si>
  <si>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</si>
  <si>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</si>
  <si>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</si>
  <si>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</si>
  <si>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</si>
  <si>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</si>
  <si>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</si>
  <si>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</si>
  <si>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</si>
  <si>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</si>
  <si>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</si>
  <si>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</si>
  <si>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</si>
  <si>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</si>
  <si>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</si>
  <si>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</si>
  <si>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</si>
  <si>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</si>
  <si>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</si>
  <si>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</si>
  <si>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</si>
  <si>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</si>
  <si>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</si>
  <si>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</si>
  <si>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</si>
  <si>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</si>
  <si>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</si>
  <si>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</si>
  <si>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</si>
  <si>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</si>
  <si>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</si>
  <si>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</si>
  <si>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</si>
  <si>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</si>
  <si>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</si>
  <si>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</si>
  <si>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</si>
  <si>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</si>
  <si>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</si>
  <si>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</si>
  <si>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</si>
  <si>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</si>
  <si>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</si>
  <si>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</si>
  <si>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</si>
  <si>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</si>
  <si>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</si>
  <si>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</si>
  <si>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</si>
  <si>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</si>
  <si>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</si>
  <si>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</si>
  <si>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</si>
  <si>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</si>
  <si>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</si>
  <si>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</si>
  <si>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</si>
  <si>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</si>
  <si>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</si>
  <si>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</si>
  <si>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</si>
  <si>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</si>
  <si>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</si>
  <si>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</si>
  <si>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</si>
  <si>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</si>
  <si>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</si>
  <si>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</si>
  <si>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</si>
  <si>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</si>
  <si>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</si>
  <si>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</si>
  <si>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</si>
  <si>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</si>
  <si>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</si>
  <si>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</si>
  <si>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</si>
  <si>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</si>
  <si>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</si>
  <si>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</si>
  <si>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</si>
  <si>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</si>
  <si>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</si>
  <si>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</si>
  <si>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</si>
  <si>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</si>
  <si>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</si>
  <si>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</si>
  <si>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</si>
  <si>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</si>
  <si>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</si>
  <si>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</si>
  <si>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</si>
  <si>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</si>
  <si>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</si>
  <si>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</si>
  <si>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</si>
  <si>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</si>
  <si>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</si>
  <si>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</si>
  <si>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</si>
  <si>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</si>
  <si>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</si>
  <si>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</si>
  <si>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</si>
  <si>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</si>
  <si>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</si>
  <si>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</si>
  <si>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</si>
  <si>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</si>
  <si>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</si>
  <si>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</si>
  <si>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</si>
  <si>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</si>
  <si>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</si>
  <si>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</si>
  <si>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</si>
  <si>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</si>
  <si>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</si>
  <si>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</si>
  <si>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</si>
  <si>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</si>
  <si>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</si>
  <si>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</si>
  <si>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</si>
  <si>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</si>
  <si>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</si>
  <si>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</si>
  <si>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</si>
  <si>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</si>
  <si>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</si>
  <si>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</si>
  <si>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</si>
  <si>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</si>
  <si>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</si>
  <si>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</si>
  <si>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</si>
  <si>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</si>
  <si>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</si>
  <si>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</si>
  <si>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</si>
  <si>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</si>
  <si>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</si>
  <si>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</si>
  <si>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</si>
  <si>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</si>
  <si>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</si>
  <si>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</si>
  <si>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</si>
  <si>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</si>
  <si>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</si>
  <si>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</si>
  <si>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</si>
  <si>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</si>
  <si>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</si>
  <si>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</si>
  <si>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</si>
  <si>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</si>
  <si>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</si>
  <si>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</si>
  <si>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</si>
  <si>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</si>
  <si>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</si>
  <si>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</si>
  <si>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</si>
  <si>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</si>
  <si>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</si>
  <si>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</si>
  <si>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</si>
  <si>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</si>
  <si>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</si>
  <si>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</si>
  <si>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</si>
  <si>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</si>
  <si>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</si>
  <si>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</si>
  <si>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</si>
  <si>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</si>
  <si>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</si>
  <si>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</si>
  <si>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</si>
  <si>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</si>
  <si>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</si>
  <si>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</si>
  <si>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</si>
  <si>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</si>
  <si>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</si>
  <si>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</si>
  <si>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</si>
  <si>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</si>
  <si>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</si>
  <si>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</si>
  <si>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</si>
  <si>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</si>
  <si>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</si>
  <si>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</si>
  <si>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</si>
  <si>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</si>
  <si>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</si>
  <si>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</si>
  <si>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</si>
  <si>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</si>
  <si>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</si>
  <si>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</si>
  <si>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</si>
  <si>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</si>
  <si>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</si>
  <si>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</si>
  <si>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</si>
  <si>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</si>
  <si>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</si>
  <si>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</si>
  <si>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</si>
  <si>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</si>
  <si>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</si>
  <si>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</si>
  <si>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</si>
  <si>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</si>
  <si>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</si>
  <si>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</si>
  <si>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</si>
  <si>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</si>
  <si>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</si>
  <si>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</si>
  <si>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</si>
  <si>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</si>
  <si>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</si>
  <si>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</si>
  <si>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</si>
  <si>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</si>
  <si>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</si>
  <si>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</si>
  <si>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</si>
  <si>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</si>
  <si>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</si>
  <si>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</si>
  <si>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</si>
  <si>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</si>
  <si>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</si>
  <si>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</si>
  <si>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</si>
  <si>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</si>
  <si>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</si>
  <si>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</si>
  <si>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</si>
  <si>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</si>
  <si>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</si>
  <si>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</si>
  <si>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</si>
  <si>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</si>
  <si>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</si>
  <si>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</si>
  <si>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</si>
  <si>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</si>
  <si>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</si>
  <si>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</si>
  <si>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</si>
  <si>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</si>
  <si>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</si>
  <si>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</si>
  <si>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</si>
  <si>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</si>
  <si>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</si>
  <si>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</si>
  <si>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</si>
  <si>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</si>
  <si>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</si>
  <si>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</si>
  <si>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</si>
  <si>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</si>
  <si>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</si>
  <si>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</si>
  <si>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</si>
  <si>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</si>
  <si>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</si>
  <si>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</si>
  <si>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</si>
  <si>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</si>
  <si>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</si>
  <si>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</si>
  <si>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</si>
  <si>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</si>
  <si>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</si>
  <si>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</si>
  <si>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</si>
  <si>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</si>
  <si>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</si>
  <si>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</si>
  <si>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</si>
  <si>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</si>
  <si>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</si>
  <si>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</si>
  <si>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</si>
  <si>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</si>
  <si>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</si>
  <si>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</si>
  <si>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</si>
  <si>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</si>
  <si>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</si>
  <si>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</si>
  <si>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</si>
  <si>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</si>
  <si>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</si>
  <si>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</si>
  <si>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</si>
  <si>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</si>
  <si>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</si>
  <si>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</si>
  <si>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</si>
  <si>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</si>
  <si>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</si>
  <si>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</si>
  <si>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</si>
  <si>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</si>
  <si>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</si>
  <si>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</si>
  <si>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</si>
  <si>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</si>
  <si>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</si>
  <si>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</si>
  <si>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</si>
  <si>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</si>
  <si>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</si>
  <si>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</si>
  <si>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</si>
  <si>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</si>
  <si>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</si>
  <si>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</si>
  <si>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</si>
  <si>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</si>
  <si>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</si>
  <si>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</si>
  <si>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</si>
  <si>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</si>
  <si>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</si>
  <si>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</si>
  <si>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</si>
  <si>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</si>
  <si>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</si>
  <si>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</si>
  <si>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</si>
  <si>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</si>
  <si>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</si>
  <si>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</si>
  <si>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</si>
  <si>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</si>
  <si>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</si>
  <si>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</si>
  <si>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</si>
  <si>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</si>
  <si>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</si>
  <si>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</si>
  <si>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</si>
  <si>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</si>
  <si>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</si>
  <si>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</si>
  <si>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</si>
  <si>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</si>
  <si>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</si>
  <si>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</si>
  <si>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</si>
  <si>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</si>
  <si>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</si>
  <si>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</si>
  <si>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</si>
  <si>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</si>
  <si>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</si>
  <si>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</si>
  <si>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</si>
  <si>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</si>
  <si>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</si>
  <si>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</si>
  <si>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</si>
  <si>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</si>
  <si>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</si>
  <si>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</si>
  <si>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</si>
  <si>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</si>
  <si>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</si>
  <si>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</si>
  <si>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</si>
  <si>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</si>
  <si>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</si>
  <si>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</si>
  <si>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</si>
  <si>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</si>
  <si>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</si>
  <si>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</si>
  <si>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</si>
  <si>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</si>
  <si>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</si>
  <si>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</si>
  <si>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</si>
  <si>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</si>
  <si>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</si>
  <si>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</si>
  <si>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</si>
  <si>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</si>
  <si>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</si>
  <si>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</si>
  <si>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</si>
  <si>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</si>
  <si>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</si>
  <si>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</si>
  <si>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</si>
  <si>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</si>
  <si>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</si>
  <si>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</si>
  <si>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</si>
  <si>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</si>
  <si>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</si>
  <si>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</si>
  <si>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</si>
  <si>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</si>
  <si>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</si>
  <si>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</si>
  <si>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</si>
  <si>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</si>
  <si>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</si>
  <si>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</si>
  <si>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</si>
  <si>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</si>
  <si>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</si>
  <si>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</si>
  <si>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</si>
  <si>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</si>
  <si>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</si>
  <si>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</si>
  <si>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</si>
  <si>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</si>
  <si>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</si>
  <si>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</si>
  <si>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</si>
  <si>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</si>
  <si>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</si>
  <si>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</si>
  <si>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</si>
  <si>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</si>
  <si>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</si>
  <si>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</si>
  <si>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</si>
  <si>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</si>
  <si>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</si>
  <si>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</si>
  <si>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</si>
  <si>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</si>
  <si>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</si>
  <si>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</si>
  <si>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</si>
  <si>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</si>
  <si>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</si>
  <si>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</si>
  <si>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</si>
  <si>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</si>
  <si>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</si>
  <si>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</si>
  <si>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</si>
  <si>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</si>
  <si>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</si>
  <si>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</si>
  <si>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</si>
  <si>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</si>
  <si>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</si>
  <si>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</si>
  <si>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</si>
  <si>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</si>
  <si>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</si>
  <si>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</si>
  <si>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</si>
  <si>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</si>
  <si>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</si>
  <si>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</si>
  <si>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</si>
  <si>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</si>
  <si>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</si>
  <si>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</si>
  <si>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</si>
  <si>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</si>
  <si>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</si>
  <si>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</si>
  <si>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</si>
  <si>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</si>
  <si>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</si>
  <si>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</si>
  <si>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</si>
  <si>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</si>
  <si>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</si>
  <si>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</si>
  <si>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</si>
  <si>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</si>
  <si>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</si>
  <si>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</si>
  <si>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</si>
  <si>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</si>
  <si>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</si>
  <si>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</si>
  <si>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</si>
  <si>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</si>
  <si>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</si>
  <si>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</si>
  <si>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</si>
  <si>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</si>
  <si>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</si>
  <si>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</si>
  <si>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</si>
  <si>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</si>
  <si>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</si>
  <si>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</si>
  <si>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</si>
  <si>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</si>
  <si>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</si>
  <si>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</si>
  <si>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</si>
  <si>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</si>
  <si>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</si>
  <si>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</si>
  <si>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</si>
  <si>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</si>
  <si>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</si>
  <si>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</si>
  <si>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</si>
  <si>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</si>
  <si>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</si>
  <si>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</si>
  <si>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</si>
  <si>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</si>
  <si>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</si>
  <si>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</si>
  <si>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</si>
  <si>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</si>
  <si>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</si>
  <si>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</si>
  <si>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</si>
  <si>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</si>
  <si>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</si>
  <si>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</si>
  <si>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</si>
  <si>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</si>
  <si>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</si>
  <si>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</si>
  <si>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</si>
  <si>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</si>
  <si>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</si>
  <si>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</si>
  <si>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</si>
  <si>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</si>
  <si>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</si>
  <si>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</si>
  <si>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</si>
  <si>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</si>
  <si>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</si>
  <si>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</si>
  <si>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</si>
  <si>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</si>
  <si>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</si>
  <si>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</si>
  <si>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</si>
  <si>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</si>
  <si>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</si>
  <si>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</si>
  <si>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</si>
  <si>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</si>
  <si>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</si>
  <si>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</si>
  <si>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</si>
  <si>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</si>
  <si>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</si>
  <si>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</si>
  <si>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</si>
  <si>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</si>
  <si>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</si>
  <si>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</si>
  <si>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</si>
  <si>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</si>
  <si>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</si>
  <si>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</si>
  <si>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</si>
  <si>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</si>
  <si>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</si>
  <si>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</si>
  <si>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</si>
  <si>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</si>
  <si>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</si>
  <si>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</si>
  <si>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</si>
  <si>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</si>
  <si>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</si>
  <si>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</si>
  <si>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</si>
  <si>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</si>
  <si>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</si>
  <si>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</si>
  <si>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</si>
  <si>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</si>
  <si>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</si>
  <si>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</si>
  <si>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</si>
  <si>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</si>
  <si>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</si>
  <si>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</si>
  <si>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</si>
  <si>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</si>
  <si>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</si>
  <si>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</si>
  <si>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</si>
  <si>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</si>
  <si>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</si>
  <si>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</si>
  <si>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</si>
  <si>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</si>
  <si>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</si>
  <si>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</si>
  <si>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</si>
  <si>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</si>
  <si>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</si>
  <si>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</si>
  <si>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</si>
  <si>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</si>
  <si>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</si>
  <si>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</si>
  <si>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</si>
  <si>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</si>
  <si>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</si>
  <si>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</si>
  <si>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</si>
  <si>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</si>
  <si>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</si>
  <si>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</si>
  <si>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</si>
  <si>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</si>
  <si>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</si>
  <si>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</si>
  <si>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</si>
  <si>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</si>
  <si>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</si>
  <si>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</si>
  <si>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</si>
  <si>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</si>
  <si>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</si>
  <si>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</si>
  <si>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</si>
  <si>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</si>
  <si>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</si>
  <si>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</si>
  <si>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</si>
  <si>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</si>
  <si>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</si>
  <si>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</si>
  <si>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</si>
  <si>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</si>
  <si>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</si>
  <si>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</si>
  <si>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</si>
  <si>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</si>
  <si>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</si>
  <si>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</si>
  <si>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</si>
  <si>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</si>
  <si>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</si>
  <si>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</si>
  <si>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</si>
  <si>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</si>
  <si>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</si>
  <si>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</si>
  <si>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</si>
  <si>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</si>
  <si>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</si>
  <si>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</si>
  <si>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</si>
  <si>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</si>
  <si>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</si>
  <si>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</si>
  <si>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</si>
  <si>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</si>
  <si>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</si>
  <si>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</si>
  <si>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</si>
  <si>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</si>
  <si>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</si>
  <si>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</si>
  <si>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</si>
  <si>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</si>
  <si>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</si>
  <si>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</si>
  <si>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</si>
  <si>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</si>
  <si>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</si>
  <si>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</si>
  <si>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</si>
  <si>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</si>
  <si>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</si>
  <si>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</si>
  <si>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</si>
  <si>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</si>
  <si>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</si>
  <si>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</si>
  <si>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</si>
  <si>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</si>
  <si>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</si>
  <si>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</si>
  <si>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</si>
  <si>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</si>
  <si>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</si>
  <si>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</si>
  <si>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</si>
  <si>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</si>
  <si>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</si>
  <si>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</si>
  <si>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</si>
  <si>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</si>
  <si>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</si>
  <si>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</si>
  <si>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</si>
  <si>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</si>
  <si>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</si>
  <si>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</si>
  <si>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</si>
  <si>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</si>
  <si>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</si>
  <si>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</si>
  <si>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</si>
  <si>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</si>
  <si>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</si>
  <si>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</si>
  <si>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</si>
  <si>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</si>
  <si>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</si>
  <si>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</si>
  <si>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</si>
  <si>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</si>
  <si>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</si>
  <si>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</si>
  <si>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</si>
  <si>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</si>
  <si>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</si>
  <si>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</si>
  <si>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</si>
  <si>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</si>
  <si>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</si>
  <si>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</si>
  <si>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</si>
  <si>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</si>
  <si>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</si>
  <si>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</si>
  <si>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</si>
  <si>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</si>
  <si>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</si>
  <si>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</si>
  <si>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</si>
  <si>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</si>
  <si>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</si>
  <si>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</si>
  <si>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</si>
  <si>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</si>
  <si>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</si>
  <si>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</si>
  <si>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</si>
  <si>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</si>
  <si>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</si>
  <si>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</si>
  <si>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</si>
  <si>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</si>
  <si>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</si>
  <si>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</si>
  <si>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</si>
  <si>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</si>
  <si>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</si>
  <si>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</si>
  <si>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</si>
  <si>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</si>
  <si>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</si>
  <si>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</si>
  <si>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</si>
  <si>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</si>
  <si>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</si>
  <si>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</si>
  <si>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</si>
  <si>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</si>
  <si>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</si>
  <si>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</si>
  <si>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</si>
  <si>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</si>
  <si>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</si>
  <si>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</si>
  <si>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</si>
  <si>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</si>
  <si>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</si>
  <si>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</si>
  <si>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</si>
  <si>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</si>
  <si>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</si>
  <si>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</si>
  <si>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</si>
  <si>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</si>
  <si>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</si>
  <si>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</si>
  <si>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</si>
  <si>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</si>
  <si>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</si>
  <si>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</si>
  <si>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</si>
  <si>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</si>
  <si>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</si>
  <si>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</si>
  <si>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</si>
  <si>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</si>
  <si>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</si>
  <si>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</si>
  <si>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</si>
  <si>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</si>
  <si>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</si>
  <si>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</si>
  <si>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</si>
  <si>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</si>
  <si>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</si>
  <si>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</si>
  <si>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</si>
  <si>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</si>
  <si>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</si>
  <si>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</si>
  <si>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</si>
  <si>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</si>
  <si>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</si>
  <si>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</si>
  <si>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</si>
  <si>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</si>
  <si>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</si>
  <si>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</si>
  <si>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</si>
  <si>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</si>
  <si>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</si>
  <si>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</si>
  <si>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</si>
  <si>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</si>
  <si>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</si>
  <si>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</si>
  <si>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</si>
  <si>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</si>
  <si>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</si>
  <si>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</si>
  <si>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</si>
  <si>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</si>
  <si>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</si>
  <si>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</si>
  <si>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</si>
  <si>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</si>
  <si>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</si>
  <si>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</si>
  <si>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</si>
  <si>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</si>
  <si>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</si>
  <si>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</si>
  <si>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</si>
  <si>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</si>
  <si>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</si>
  <si>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</si>
  <si>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</si>
  <si>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</si>
  <si>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</si>
  <si>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</si>
  <si>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</si>
  <si>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</si>
  <si>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</si>
  <si>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</si>
  <si>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</si>
  <si>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</si>
  <si>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</si>
  <si>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</si>
  <si>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</si>
  <si>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</si>
  <si>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</si>
  <si>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</si>
  <si>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</si>
  <si>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</si>
  <si>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</si>
  <si>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</si>
  <si>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</si>
  <si>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</si>
  <si>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</si>
  <si>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</si>
  <si>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</si>
  <si>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</si>
  <si>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</si>
  <si>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</si>
  <si>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</si>
  <si>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</si>
  <si>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</si>
  <si>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</si>
  <si>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</si>
  <si>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</si>
  <si>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</si>
  <si>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</si>
  <si>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</si>
  <si>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</si>
  <si>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</si>
  <si>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</si>
  <si>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</si>
  <si>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</si>
  <si>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</si>
  <si>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</si>
  <si>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</si>
  <si>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</si>
  <si>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</si>
  <si>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</si>
  <si>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</si>
  <si>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</si>
  <si>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</si>
  <si>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</si>
  <si>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</si>
  <si>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</si>
  <si>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</si>
  <si>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</si>
  <si>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</si>
  <si>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</si>
  <si>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</si>
  <si>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</si>
  <si>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</si>
  <si>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</si>
  <si>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</si>
  <si>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</si>
  <si>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</si>
  <si>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</si>
  <si>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</si>
  <si>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</si>
  <si>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</si>
  <si>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</si>
  <si>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</si>
  <si>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</si>
  <si>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</si>
  <si>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</si>
  <si>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</si>
  <si>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</si>
  <si>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</si>
  <si>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</si>
  <si>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</si>
  <si>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</si>
  <si>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</si>
  <si>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</si>
  <si>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</si>
  <si>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</si>
  <si>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</si>
  <si>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</si>
  <si>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</si>
  <si>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</si>
  <si>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</si>
  <si>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</si>
  <si>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</si>
  <si>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</si>
  <si>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</si>
  <si>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</si>
  <si>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</si>
  <si>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</si>
  <si>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</si>
  <si>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</si>
  <si>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</si>
  <si>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</si>
  <si>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</si>
  <si>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</si>
  <si>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</si>
  <si>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</si>
  <si>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</si>
  <si>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</si>
  <si>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</si>
  <si>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</si>
  <si>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</si>
  <si>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</si>
  <si>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</si>
  <si>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</si>
  <si>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</si>
  <si>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</si>
  <si>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</si>
  <si>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</si>
  <si>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</si>
  <si>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</si>
  <si>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</si>
  <si>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</si>
  <si>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</si>
  <si>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</si>
  <si>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</si>
  <si>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</si>
  <si>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</si>
  <si>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</si>
  <si>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</si>
  <si>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</si>
  <si>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</si>
  <si>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</si>
  <si>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</si>
  <si>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</si>
  <si>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</si>
  <si>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</si>
  <si>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</si>
  <si>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</si>
  <si>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</si>
  <si>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</si>
  <si>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</si>
  <si>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</si>
  <si>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</si>
  <si>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</si>
  <si>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</si>
  <si>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</si>
  <si>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</si>
  <si>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</si>
  <si>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</si>
  <si>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</si>
  <si>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</si>
  <si>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</si>
  <si>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</si>
  <si>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</si>
  <si>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</si>
  <si>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</si>
  <si>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</si>
  <si>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</si>
  <si>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</si>
  <si>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</si>
  <si>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</si>
  <si>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</si>
  <si>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</si>
  <si>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</si>
  <si>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</si>
  <si>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</si>
  <si>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</si>
  <si>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</si>
  <si>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</si>
  <si>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</si>
  <si>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</si>
  <si>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</si>
  <si>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</si>
  <si>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</si>
  <si>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</si>
  <si>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</si>
  <si>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</si>
  <si>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</si>
  <si>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</si>
  <si>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</si>
  <si>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</si>
  <si>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</si>
  <si>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</si>
  <si>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</si>
  <si>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</si>
  <si>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</si>
  <si>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</si>
  <si>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</si>
  <si>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</si>
  <si>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</si>
  <si>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</si>
  <si>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</si>
  <si>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</si>
  <si>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</si>
  <si>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</si>
  <si>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</si>
  <si>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</si>
  <si>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</si>
  <si>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</si>
  <si>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</si>
  <si>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</si>
  <si>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</si>
  <si>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</si>
  <si>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</si>
  <si>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</si>
  <si>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</si>
  <si>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</si>
  <si>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</si>
  <si>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</si>
  <si>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</si>
  <si>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</si>
  <si>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</si>
  <si>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</si>
  <si>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</si>
  <si>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</si>
  <si>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</si>
  <si>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</si>
  <si>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</si>
  <si>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</si>
  <si>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</si>
  <si>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</si>
  <si>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</si>
  <si>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</si>
  <si>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</si>
  <si>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</si>
  <si>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</si>
  <si>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</si>
  <si>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</si>
  <si>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</si>
  <si>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</si>
  <si>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</si>
  <si>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</si>
  <si>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</si>
  <si>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</si>
  <si>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</si>
  <si>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</si>
  <si>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</si>
  <si>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</si>
  <si>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</si>
  <si>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</si>
  <si>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</si>
  <si>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</si>
  <si>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</si>
  <si>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</si>
  <si>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</si>
  <si>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</si>
  <si>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</si>
  <si>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</si>
  <si>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</si>
  <si>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</si>
  <si>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</si>
  <si>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</si>
  <si>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</si>
  <si>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</si>
  <si>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</si>
  <si>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</si>
  <si>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</si>
  <si>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</si>
  <si>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</si>
  <si>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</si>
  <si>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</si>
  <si>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</si>
  <si>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</si>
  <si>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</si>
  <si>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</si>
  <si>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</si>
  <si>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</si>
  <si>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</si>
  <si>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</si>
  <si>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</si>
  <si>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</si>
  <si>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</si>
  <si>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</si>
  <si>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</si>
  <si>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</si>
  <si>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</si>
  <si>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</si>
  <si>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</si>
  <si>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</si>
  <si>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</si>
  <si>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</si>
  <si>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</si>
  <si>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</si>
  <si>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</si>
  <si>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</si>
  <si>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</si>
  <si>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</si>
  <si>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</si>
  <si>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</si>
  <si>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</si>
  <si>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</si>
  <si>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</si>
  <si>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</si>
  <si>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</si>
  <si>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</si>
  <si>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</si>
  <si>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</si>
  <si>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</si>
  <si>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</si>
  <si>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</si>
  <si>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</si>
  <si>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</si>
  <si>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</si>
  <si>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</si>
  <si>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</si>
  <si>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</si>
  <si>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</si>
  <si>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</si>
  <si>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</si>
  <si>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</si>
  <si>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</si>
  <si>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</si>
  <si>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</si>
  <si>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</si>
  <si>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</si>
  <si>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</si>
  <si>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</si>
  <si>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</si>
  <si>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</si>
  <si>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</si>
  <si>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</si>
  <si>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</si>
  <si>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</si>
  <si>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</si>
  <si>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</si>
  <si>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</si>
  <si>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</si>
  <si>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</si>
  <si>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</si>
  <si>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</si>
  <si>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</si>
  <si>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</si>
  <si>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</si>
  <si>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</si>
  <si>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</si>
  <si>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</si>
  <si>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</si>
  <si>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</si>
  <si>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</si>
  <si>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</si>
  <si>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</si>
  <si>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</si>
  <si>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</si>
  <si>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</si>
  <si>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</si>
  <si>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</si>
  <si>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</si>
  <si>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</si>
  <si>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</si>
  <si>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</si>
  <si>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</si>
  <si>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</si>
  <si>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</si>
  <si>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</si>
  <si>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</si>
  <si>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</si>
  <si>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</si>
  <si>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</si>
  <si>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</si>
  <si>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</si>
  <si>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</si>
  <si>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</si>
  <si>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</si>
  <si>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</si>
  <si>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</si>
  <si>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</si>
  <si>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</si>
  <si>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</si>
  <si>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</si>
  <si>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</si>
  <si>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</si>
  <si>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</si>
  <si>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</si>
  <si>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</si>
  <si>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</si>
  <si>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</si>
  <si>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</si>
  <si>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</si>
  <si>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</si>
  <si>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</si>
  <si>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</si>
  <si>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</si>
  <si>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</si>
  <si>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</si>
  <si>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</si>
  <si>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</si>
  <si>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</si>
  <si>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</si>
  <si>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</si>
  <si>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</si>
  <si>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</si>
  <si>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</si>
  <si>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</si>
  <si>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</si>
  <si>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</si>
  <si>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</si>
  <si>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</si>
  <si>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</si>
  <si>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</si>
  <si>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</si>
  <si>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</si>
  <si>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</si>
  <si>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</si>
  <si>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</si>
  <si>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</si>
  <si>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</si>
  <si>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</si>
  <si>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</si>
  <si>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</si>
  <si>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</si>
  <si>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</si>
  <si>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</si>
  <si>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</si>
  <si>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</si>
  <si>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</si>
  <si>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</si>
  <si>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</si>
  <si>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</si>
  <si>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</si>
  <si>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</si>
  <si>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</si>
  <si>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</si>
  <si>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</si>
  <si>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</si>
  <si>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</si>
  <si>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</si>
  <si>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</si>
  <si>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</si>
  <si>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</si>
  <si>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</si>
  <si>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</si>
  <si>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</si>
  <si>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</si>
  <si>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</si>
  <si>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</si>
  <si>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</si>
  <si>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</si>
  <si>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</si>
  <si>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</si>
  <si>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</si>
  <si>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</si>
  <si>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</si>
  <si>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</si>
  <si>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</si>
  <si>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</si>
  <si>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</si>
  <si>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</si>
  <si>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</si>
  <si>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</si>
  <si>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</si>
  <si>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</si>
  <si>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</si>
  <si>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</si>
  <si>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</si>
  <si>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</si>
  <si>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</si>
  <si>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</si>
  <si>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</si>
  <si>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</si>
  <si>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</si>
  <si>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</si>
  <si>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</si>
  <si>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</si>
  <si>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</si>
  <si>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</si>
  <si>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</si>
  <si>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</si>
  <si>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</si>
  <si>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</si>
  <si>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</si>
  <si>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</si>
  <si>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</si>
  <si>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</si>
  <si>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</si>
  <si>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</si>
  <si>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</si>
  <si>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</si>
  <si>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</si>
  <si>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</si>
  <si>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</si>
  <si>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</si>
  <si>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</si>
  <si>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</si>
  <si>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</si>
  <si>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</si>
  <si>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</si>
  <si>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</si>
  <si>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</si>
  <si>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</si>
  <si>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</si>
  <si>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</si>
  <si>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</si>
  <si>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</si>
  <si>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</si>
  <si>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</si>
  <si>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</si>
  <si>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</si>
  <si>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</si>
  <si>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</si>
  <si>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</si>
  <si>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</si>
  <si>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</si>
  <si>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</si>
  <si>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</si>
  <si>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</si>
  <si>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</si>
  <si>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</si>
  <si>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</si>
  <si>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</si>
  <si>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</si>
  <si>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</si>
  <si>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</si>
  <si>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</si>
  <si>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</si>
  <si>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</si>
  <si>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</si>
  <si>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</si>
  <si>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</si>
  <si>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</si>
  <si>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</si>
  <si>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</si>
  <si>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</si>
  <si>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</si>
  <si>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</si>
  <si>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</si>
  <si>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</si>
  <si>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</si>
  <si>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</si>
  <si>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</si>
  <si>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</si>
  <si>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</si>
  <si>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</si>
  <si>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</si>
  <si>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</si>
  <si>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</si>
  <si>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</si>
  <si>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</si>
  <si>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</si>
  <si>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</si>
  <si>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</si>
  <si>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</si>
  <si>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</si>
  <si>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</si>
  <si>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</si>
  <si>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</si>
  <si>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</si>
  <si>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</si>
  <si>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</si>
  <si>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</si>
  <si>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</si>
  <si>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</si>
  <si>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</si>
  <si>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</si>
  <si>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</si>
  <si>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</si>
  <si>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</si>
  <si>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</si>
  <si>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</si>
  <si>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</si>
  <si>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</si>
  <si>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</si>
  <si>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</si>
  <si>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</si>
  <si>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</si>
  <si>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</si>
  <si>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</si>
  <si>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</si>
  <si>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</si>
  <si>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</si>
  <si>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</si>
  <si>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</si>
  <si>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</si>
  <si>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</si>
  <si>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</si>
  <si>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</si>
  <si>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</si>
  <si>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</si>
  <si>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</si>
  <si>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</si>
  <si>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</si>
  <si>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</si>
  <si>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</si>
  <si>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</si>
  <si>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</si>
  <si>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</si>
  <si>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</si>
  <si>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</si>
  <si>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</si>
  <si>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</si>
  <si>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</si>
  <si>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</si>
  <si>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</si>
  <si>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</si>
  <si>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</si>
  <si>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</si>
  <si>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</si>
  <si>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</si>
  <si>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</si>
  <si>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</si>
  <si>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</si>
  <si>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</si>
  <si>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</si>
  <si>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</si>
  <si>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</si>
  <si>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</si>
  <si>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</si>
  <si>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</si>
  <si>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</si>
  <si>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</si>
  <si>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</si>
  <si>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</si>
  <si>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</si>
  <si>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</si>
  <si>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</si>
  <si>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</si>
  <si>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</si>
  <si>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</si>
  <si>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</si>
  <si>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</si>
  <si>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</si>
  <si>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</si>
  <si>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</si>
  <si>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</si>
  <si>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</si>
  <si>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</si>
  <si>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</si>
  <si>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</si>
  <si>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</si>
  <si>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</si>
  <si>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</si>
  <si>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</si>
  <si>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</si>
  <si>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</si>
  <si>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</si>
  <si>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</si>
  <si>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</si>
  <si>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</si>
  <si>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</si>
  <si>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</si>
  <si>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</si>
  <si>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</si>
  <si>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</si>
  <si>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</si>
  <si>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</si>
  <si>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</si>
  <si>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</si>
  <si>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</si>
  <si>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</si>
  <si>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</si>
  <si>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</si>
  <si>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</si>
  <si>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</si>
  <si>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</si>
  <si>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</si>
  <si>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</si>
  <si>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</si>
  <si>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</si>
  <si>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</si>
  <si>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</si>
  <si>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</si>
  <si>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</si>
  <si>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</si>
  <si>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</si>
  <si>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</si>
  <si>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</si>
  <si>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</si>
  <si>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</si>
  <si>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</si>
  <si>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</si>
  <si>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</si>
  <si>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</si>
  <si>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</si>
  <si>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</si>
  <si>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</si>
  <si>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</si>
  <si>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</si>
  <si>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</si>
  <si>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</si>
  <si>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</si>
  <si>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</si>
  <si>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</si>
  <si>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</si>
  <si>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</si>
  <si>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</si>
  <si>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</si>
  <si>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</si>
  <si>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</si>
  <si>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</si>
  <si>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</si>
  <si>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</si>
  <si>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</si>
  <si>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</si>
  <si>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</si>
  <si>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</si>
  <si>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</si>
  <si>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</si>
  <si>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</si>
  <si>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</si>
  <si>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</si>
  <si>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</si>
  <si>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</si>
  <si>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</si>
  <si>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</si>
  <si>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</si>
  <si>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</si>
  <si>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</si>
  <si>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</si>
  <si>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</si>
  <si>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</si>
  <si>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</si>
  <si>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</si>
  <si>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</si>
  <si>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</si>
  <si>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</si>
  <si>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</si>
  <si>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</si>
  <si>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</si>
  <si>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</si>
  <si>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</si>
  <si>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</si>
  <si>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</si>
  <si>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</si>
  <si>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</si>
  <si>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</si>
  <si>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</si>
  <si>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</si>
  <si>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</si>
  <si>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</si>
  <si>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</si>
  <si>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</si>
  <si>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</si>
  <si>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</si>
  <si>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</si>
  <si>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</si>
  <si>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</si>
  <si>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</si>
  <si>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</si>
  <si>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</si>
  <si>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</si>
  <si>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</si>
  <si>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</si>
  <si>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</si>
  <si>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</si>
  <si>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</si>
  <si>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</si>
  <si>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</si>
  <si>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</si>
  <si>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</si>
  <si>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</si>
  <si>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</si>
  <si>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</si>
  <si>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</si>
  <si>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</si>
  <si>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</si>
  <si>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</si>
  <si>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</si>
  <si>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</si>
  <si>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</si>
  <si>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</si>
  <si>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</si>
  <si>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</si>
  <si>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</si>
  <si>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</si>
  <si>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</si>
  <si>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</si>
  <si>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</si>
  <si>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</si>
  <si>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</si>
  <si>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</si>
  <si>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</si>
  <si>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</si>
  <si>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</si>
  <si>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</si>
  <si>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</si>
  <si>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</si>
  <si>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</si>
  <si>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</si>
  <si>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</si>
  <si>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</si>
  <si>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</si>
  <si>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</si>
  <si>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</si>
  <si>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</si>
  <si>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</si>
  <si>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</si>
  <si>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</si>
  <si>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</si>
  <si>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</si>
  <si>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</si>
  <si>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</si>
  <si>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</si>
  <si>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</si>
  <si>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</si>
  <si>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</si>
  <si>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</si>
  <si>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</si>
  <si>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</si>
  <si>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</si>
  <si>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</si>
  <si>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</si>
  <si>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</si>
  <si>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</si>
  <si>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</si>
  <si>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</si>
  <si>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</si>
  <si>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</si>
  <si>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</si>
  <si>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</si>
  <si>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</si>
  <si>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</si>
  <si>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</si>
  <si>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</si>
  <si>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</si>
  <si>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</si>
  <si>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</si>
  <si>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</si>
  <si>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</si>
  <si>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</si>
  <si>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</si>
  <si>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</si>
  <si>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</si>
  <si>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</si>
  <si>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</si>
  <si>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</si>
  <si>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</si>
  <si>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</si>
  <si>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</si>
  <si>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</si>
  <si>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</si>
  <si>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</si>
  <si>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</si>
  <si>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</si>
  <si>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</si>
  <si>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</si>
  <si>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</si>
  <si>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</si>
  <si>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</si>
  <si>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</si>
  <si>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</si>
  <si>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</si>
  <si>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</si>
  <si>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</si>
  <si>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</si>
  <si>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</si>
  <si>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</si>
  <si>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</si>
  <si>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</si>
  <si>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</si>
  <si>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</si>
  <si>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</si>
  <si>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</si>
  <si>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</si>
  <si>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</si>
  <si>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</si>
  <si>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</si>
  <si>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</si>
  <si>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</si>
  <si>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</si>
  <si>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</si>
  <si>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</si>
  <si>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</si>
  <si>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</si>
  <si>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</si>
  <si>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</si>
  <si>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</si>
  <si>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</si>
  <si>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</si>
  <si>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</si>
  <si>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</si>
  <si>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</si>
  <si>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</si>
  <si>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</si>
  <si>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</si>
  <si>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</si>
  <si>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</si>
  <si>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</si>
  <si>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</si>
  <si>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</si>
  <si>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</si>
  <si>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</si>
  <si>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</si>
  <si>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</si>
  <si>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</si>
  <si>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</si>
  <si>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</si>
  <si>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</si>
  <si>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</si>
  <si>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</si>
  <si>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</si>
  <si>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</si>
  <si>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</si>
  <si>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</si>
  <si>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</si>
  <si>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</si>
  <si>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</si>
  <si>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</si>
  <si>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</si>
  <si>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</si>
  <si>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</si>
  <si>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</si>
  <si>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</si>
  <si>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</si>
  <si>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</si>
  <si>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</si>
  <si>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</si>
  <si>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</si>
  <si>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</si>
  <si>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</si>
  <si>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</si>
  <si>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</si>
  <si>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</si>
  <si>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</si>
  <si>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</si>
  <si>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</si>
  <si>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</si>
  <si>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</si>
  <si>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</si>
  <si>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</si>
  <si>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</si>
  <si>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</si>
  <si>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</si>
  <si>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</si>
  <si>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</si>
  <si>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</si>
  <si>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</si>
  <si>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</si>
  <si>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</si>
  <si>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</si>
  <si>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</si>
  <si>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</si>
  <si>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</si>
  <si>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</si>
  <si>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</si>
  <si>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</si>
  <si>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</si>
  <si>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</si>
  <si>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</si>
  <si>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</si>
  <si>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</si>
  <si>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</si>
  <si>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</si>
  <si>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</si>
  <si>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</si>
  <si>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</si>
  <si>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</si>
  <si>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</si>
  <si>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</si>
  <si>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</si>
  <si>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</si>
  <si>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</si>
  <si>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</si>
  <si>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</si>
  <si>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</si>
  <si>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</si>
  <si>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</si>
  <si>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</si>
  <si>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</si>
  <si>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</si>
  <si>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</si>
  <si>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</si>
  <si>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</si>
  <si>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</si>
  <si>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</si>
  <si>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</si>
  <si>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</si>
  <si>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</si>
  <si>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</si>
  <si>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</si>
  <si>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</si>
  <si>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</si>
  <si>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</si>
  <si>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</si>
  <si>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</si>
  <si>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</si>
  <si>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</si>
  <si>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</si>
  <si>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</si>
  <si>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</si>
  <si>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</si>
  <si>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</si>
  <si>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</si>
  <si>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</si>
  <si>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</si>
  <si>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</si>
  <si>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</si>
  <si>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</si>
  <si>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</si>
  <si>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</si>
  <si>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</si>
  <si>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</si>
  <si>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</si>
  <si>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</si>
  <si>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</si>
  <si>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</si>
  <si>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</si>
  <si>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</si>
  <si>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</si>
  <si>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</si>
  <si>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</si>
  <si>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</si>
  <si>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</si>
  <si>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</si>
  <si>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</si>
  <si>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</si>
  <si>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</si>
  <si>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</si>
  <si>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</si>
  <si>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</si>
  <si>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</si>
  <si>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</si>
  <si>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</si>
  <si>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</si>
  <si>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</si>
  <si>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</si>
  <si>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</si>
  <si>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</si>
  <si>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</si>
  <si>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</si>
  <si>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</si>
  <si>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</si>
  <si>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</si>
  <si>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</si>
  <si>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</si>
  <si>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</si>
  <si>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</si>
  <si>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</si>
  <si>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</si>
  <si>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</si>
  <si>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</si>
  <si>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</si>
  <si>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</si>
  <si>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</si>
  <si>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</si>
  <si>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</si>
  <si>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</si>
  <si>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</si>
  <si>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</si>
  <si>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</si>
  <si>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</si>
  <si>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</si>
  <si>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</si>
  <si>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</si>
  <si>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</si>
  <si>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</si>
  <si>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</si>
  <si>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</si>
  <si>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</si>
  <si>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</si>
  <si>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</si>
  <si>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</si>
  <si>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</si>
  <si>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</si>
  <si>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</si>
  <si>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</si>
  <si>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</si>
  <si>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</si>
  <si>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</si>
  <si>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</si>
  <si>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</si>
  <si>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</si>
  <si>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</si>
  <si>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</si>
  <si>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</si>
  <si>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</si>
  <si>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</si>
  <si>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</si>
  <si>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</si>
  <si>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</si>
  <si>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</si>
  <si>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</si>
  <si>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</si>
  <si>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</si>
  <si>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</si>
  <si>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</si>
  <si>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</si>
  <si>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</si>
  <si>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</si>
  <si>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</si>
  <si>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</si>
  <si>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</si>
  <si>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</si>
  <si>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</si>
  <si>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</si>
  <si>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</si>
  <si>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</si>
  <si>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</si>
  <si>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</si>
  <si>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</si>
  <si>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</si>
  <si>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</si>
  <si>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</si>
  <si>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</si>
  <si>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</si>
  <si>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</si>
  <si>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</si>
  <si>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</si>
  <si>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</si>
  <si>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</si>
  <si>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</si>
  <si>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</si>
  <si>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</si>
  <si>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</si>
  <si>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</si>
  <si>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</si>
  <si>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</si>
  <si>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</si>
  <si>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</si>
  <si>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</si>
  <si>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</si>
  <si>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</si>
  <si>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</si>
  <si>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</si>
  <si>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</si>
  <si>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</si>
  <si>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</si>
  <si>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</si>
  <si>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</si>
  <si>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</si>
  <si>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</si>
  <si>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</si>
  <si>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</si>
  <si>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</si>
  <si>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</si>
  <si>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</si>
  <si>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</si>
  <si>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</si>
  <si>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</si>
  <si>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</si>
  <si>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</si>
  <si>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</si>
  <si>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</si>
  <si>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</si>
  <si>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</si>
  <si>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</si>
  <si>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</si>
  <si>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</si>
  <si>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</si>
  <si>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</si>
  <si>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</si>
  <si>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</si>
  <si>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</si>
  <si>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</si>
  <si>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</si>
  <si>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</si>
  <si>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</si>
  <si>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</si>
  <si>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</si>
  <si>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</si>
  <si>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</si>
  <si>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</si>
  <si>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</si>
  <si>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</si>
  <si>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</si>
  <si>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</si>
  <si>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</si>
  <si>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</si>
  <si>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</si>
  <si>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</si>
  <si>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</si>
  <si>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</si>
  <si>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</si>
  <si>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</si>
  <si>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</si>
  <si>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</si>
  <si>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</si>
  <si>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</si>
  <si>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</si>
  <si>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</si>
  <si>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</si>
  <si>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</si>
  <si>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</si>
  <si>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</si>
  <si>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</si>
  <si>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</si>
  <si>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</si>
  <si>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</si>
  <si>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</si>
  <si>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</si>
  <si>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</si>
  <si>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</si>
  <si>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</si>
  <si>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</si>
  <si>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</si>
  <si>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</si>
  <si>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</si>
  <si>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</si>
  <si>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</si>
  <si>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</si>
  <si>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</si>
  <si>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</si>
  <si>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</si>
  <si>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</si>
  <si>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</si>
  <si>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</si>
  <si>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</si>
  <si>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</si>
  <si>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</si>
  <si>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</si>
  <si>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</si>
  <si>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</si>
  <si>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</si>
  <si>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</si>
  <si>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</si>
  <si>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</si>
  <si>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</si>
  <si>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</si>
  <si>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</si>
  <si>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</si>
  <si>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</si>
  <si>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</si>
  <si>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</si>
  <si>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</si>
  <si>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</si>
  <si>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</si>
  <si>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</si>
  <si>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</si>
  <si>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</si>
  <si>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</si>
  <si>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</si>
  <si>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</si>
  <si>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</si>
  <si>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</si>
  <si>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</si>
  <si>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</si>
  <si>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</si>
  <si>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</si>
  <si>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</si>
  <si>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</si>
  <si>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</si>
  <si>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</si>
  <si>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</si>
  <si>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</si>
  <si>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</si>
  <si>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</si>
  <si>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</si>
  <si>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</si>
  <si>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</si>
  <si>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</si>
  <si>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</si>
  <si>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</si>
  <si>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</si>
  <si>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</si>
  <si>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</si>
  <si>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</si>
  <si>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</si>
  <si>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</si>
  <si>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</si>
  <si>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</si>
  <si>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</si>
  <si>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</si>
  <si>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</si>
  <si>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</si>
  <si>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</si>
  <si>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</si>
  <si>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</si>
  <si>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</si>
  <si>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</si>
  <si>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</si>
  <si>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</si>
  <si>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</si>
  <si>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</si>
  <si>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</si>
  <si>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</si>
  <si>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</si>
  <si>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</si>
  <si>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</si>
  <si>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</si>
  <si>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</si>
  <si>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</si>
  <si>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</si>
  <si>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</si>
  <si>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</si>
  <si>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</si>
  <si>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</si>
  <si>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</si>
  <si>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</si>
  <si>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</si>
  <si>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</si>
  <si>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</si>
  <si>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</si>
  <si>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</si>
  <si>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</si>
  <si>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</si>
  <si>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</si>
  <si>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</si>
  <si>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</si>
  <si>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</si>
  <si>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</si>
  <si>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</si>
  <si>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</si>
  <si>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</si>
  <si>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</si>
  <si>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</si>
  <si>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</si>
  <si>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</si>
  <si>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</si>
  <si>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</si>
  <si>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</si>
  <si>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</si>
  <si>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</si>
  <si>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</si>
  <si>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</si>
  <si>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</si>
  <si>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</si>
  <si>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</si>
  <si>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</si>
  <si>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</si>
  <si>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</si>
  <si>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</si>
  <si>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</si>
  <si>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</si>
  <si>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</si>
  <si>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</si>
  <si>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</si>
  <si>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</si>
  <si>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</si>
  <si>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</si>
  <si>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</si>
  <si>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</si>
  <si>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</si>
  <si>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</si>
  <si>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</si>
  <si>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</si>
  <si>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</si>
  <si>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</si>
  <si>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</si>
  <si>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</si>
  <si>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</si>
  <si>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</si>
  <si>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</si>
  <si>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</si>
  <si>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</si>
  <si>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</si>
  <si>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</si>
  <si>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</si>
  <si>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</si>
  <si>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</si>
  <si>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</si>
  <si>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</si>
  <si>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</si>
  <si>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</si>
  <si>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</si>
  <si>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</si>
  <si>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</si>
  <si>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</si>
  <si>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</si>
  <si>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</si>
  <si>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</si>
  <si>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</si>
  <si>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</si>
  <si>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</si>
  <si>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</si>
  <si>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</si>
  <si>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</si>
  <si>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</si>
  <si>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</si>
  <si>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</si>
  <si>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</si>
  <si>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</si>
  <si>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</si>
  <si>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</si>
  <si>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</si>
  <si>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</si>
  <si>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</si>
  <si>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</si>
  <si>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</si>
  <si>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</si>
  <si>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</si>
  <si>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</si>
  <si>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</si>
  <si>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</si>
  <si>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</si>
  <si>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</si>
  <si>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</si>
  <si>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</si>
  <si>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</si>
  <si>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</si>
  <si>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</si>
  <si>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</si>
  <si>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</si>
  <si>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</si>
  <si>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</si>
  <si>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</si>
  <si>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</si>
  <si>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</si>
  <si>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</si>
  <si>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</si>
  <si>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</si>
  <si>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</si>
  <si>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</si>
  <si>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</si>
  <si>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</si>
  <si>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</si>
  <si>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</si>
  <si>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</si>
  <si>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</si>
  <si>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</si>
  <si>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</si>
  <si>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</si>
  <si>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</si>
  <si>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</si>
  <si>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</si>
  <si>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</si>
  <si>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</si>
  <si>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</si>
  <si>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</si>
  <si>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</si>
  <si>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</si>
  <si>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</si>
  <si>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</si>
  <si>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</si>
  <si>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</si>
  <si>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</si>
  <si>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</si>
  <si>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</si>
  <si>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</si>
  <si>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</si>
  <si>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</si>
  <si>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</si>
  <si>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</si>
  <si>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</si>
  <si>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</si>
  <si>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</si>
  <si>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</si>
  <si>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</si>
  <si>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</si>
  <si>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</si>
  <si>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</si>
  <si>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</si>
  <si>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</si>
  <si>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</si>
  <si>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</si>
  <si>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</si>
  <si>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</si>
  <si>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</si>
  <si>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</si>
  <si>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</si>
  <si>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</si>
  <si>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</si>
  <si>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</si>
  <si>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</si>
  <si>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</si>
  <si>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</si>
  <si>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</si>
  <si>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</si>
  <si>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</si>
  <si>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</si>
  <si>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</si>
  <si>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</si>
  <si>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</si>
  <si>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</si>
  <si>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</si>
  <si>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</si>
  <si>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</si>
  <si>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</si>
  <si>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</si>
  <si>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</si>
  <si>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</si>
  <si>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</si>
  <si>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</si>
  <si>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</si>
  <si>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</si>
  <si>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</si>
  <si>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</si>
  <si>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</si>
  <si>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</si>
  <si>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</si>
  <si>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</si>
  <si>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</si>
  <si>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</si>
  <si>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</si>
  <si>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</si>
  <si>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</si>
  <si>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</si>
  <si>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</si>
  <si>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</si>
  <si>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</si>
  <si>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</si>
  <si>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</si>
  <si>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</si>
  <si>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</si>
  <si>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</si>
  <si>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</si>
  <si>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</si>
  <si>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</si>
  <si>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</si>
  <si>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</si>
  <si>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</si>
  <si>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</si>
  <si>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</si>
  <si>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</si>
  <si>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</si>
  <si>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</si>
  <si>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</si>
  <si>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</si>
  <si>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</si>
  <si>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</si>
  <si>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</si>
  <si>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</si>
  <si>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</si>
  <si>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</si>
  <si>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</si>
  <si>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</si>
  <si>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</si>
  <si>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</si>
  <si>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</si>
  <si>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</si>
  <si>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</si>
  <si>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</si>
  <si>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</si>
  <si>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</si>
  <si>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</si>
  <si>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</si>
  <si>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</si>
  <si>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</si>
  <si>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</si>
  <si>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</si>
  <si>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</si>
  <si>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</si>
  <si>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</si>
  <si>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</si>
  <si>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</si>
  <si>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</si>
  <si>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</si>
  <si>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</si>
  <si>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</si>
  <si>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</si>
  <si>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</si>
  <si>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</si>
  <si>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</si>
  <si>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</si>
  <si>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</si>
  <si>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</si>
  <si>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</si>
  <si>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</si>
  <si>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</si>
  <si>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</si>
  <si>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</si>
  <si>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</si>
  <si>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</si>
  <si>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</si>
  <si>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</si>
  <si>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</si>
  <si>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</si>
  <si>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</si>
  <si>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</si>
  <si>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</si>
  <si>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</si>
  <si>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</si>
  <si>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</si>
  <si>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</si>
  <si>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</si>
  <si>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</si>
  <si>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</si>
  <si>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</si>
  <si>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</si>
  <si>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</si>
  <si>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</si>
  <si>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</si>
  <si>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</si>
  <si>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</si>
  <si>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</si>
  <si>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</si>
  <si>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</si>
  <si>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</si>
  <si>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</si>
  <si>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</si>
  <si>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</si>
  <si>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</si>
  <si>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</si>
  <si>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</si>
  <si>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</si>
  <si>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</si>
  <si>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</si>
  <si>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</si>
  <si>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</si>
  <si>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</si>
  <si>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</si>
  <si>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</si>
  <si>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</si>
  <si>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</si>
  <si>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</si>
  <si>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</si>
  <si>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</si>
  <si>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</si>
  <si>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</si>
  <si>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</si>
  <si>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</si>
  <si>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</si>
  <si>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</si>
  <si>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</si>
  <si>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</si>
  <si>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</si>
  <si>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</si>
  <si>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</si>
  <si>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</si>
  <si>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</si>
  <si>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</si>
  <si>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</si>
  <si>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</si>
  <si>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</si>
  <si>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</si>
  <si>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</si>
  <si>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</si>
  <si>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</si>
  <si>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</si>
  <si>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</si>
  <si>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</si>
  <si>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</si>
  <si>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</si>
  <si>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</si>
  <si>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</si>
  <si>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</si>
  <si>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</si>
  <si>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</si>
  <si>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</si>
  <si>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</si>
  <si>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</si>
  <si>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</si>
  <si>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</si>
  <si>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</si>
  <si>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</si>
  <si>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</si>
  <si>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</si>
  <si>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</si>
  <si>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</si>
  <si>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</si>
  <si>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</si>
  <si>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</si>
  <si>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</si>
  <si>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</si>
  <si>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</si>
  <si>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</si>
  <si>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</si>
  <si>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</si>
  <si>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</si>
  <si>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</si>
  <si>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</si>
  <si>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</si>
  <si>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</si>
  <si>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</si>
  <si>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</si>
  <si>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</si>
  <si>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</si>
  <si>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</si>
  <si>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</si>
  <si>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</si>
  <si>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</si>
  <si>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</si>
  <si>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</si>
  <si>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</si>
  <si>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</si>
  <si>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</si>
  <si>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</si>
  <si>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</si>
  <si>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</si>
  <si>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</si>
  <si>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</si>
  <si>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</si>
  <si>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</si>
  <si>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</si>
  <si>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</si>
  <si>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</si>
  <si>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</si>
  <si>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</si>
  <si>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</si>
  <si>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</si>
  <si>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</si>
  <si>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</si>
  <si>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</si>
  <si>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</si>
  <si>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</si>
  <si>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</si>
  <si>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</si>
  <si>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</si>
  <si>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</si>
  <si>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</si>
  <si>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</si>
  <si>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</si>
  <si>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</si>
  <si>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</si>
  <si>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</si>
  <si>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</si>
  <si>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</si>
  <si>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</si>
  <si>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</si>
  <si>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</si>
  <si>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</si>
  <si>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</si>
  <si>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</si>
  <si>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</si>
  <si>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</si>
  <si>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</si>
  <si>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</si>
  <si>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</si>
  <si>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</si>
  <si>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</si>
  <si>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</si>
  <si>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</si>
  <si>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</si>
  <si>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</si>
  <si>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</si>
  <si>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</si>
  <si>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</si>
  <si>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</si>
  <si>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</si>
  <si>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</si>
  <si>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</si>
  <si>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</si>
  <si>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</si>
  <si>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</si>
  <si>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</si>
  <si>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</si>
  <si>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</si>
  <si>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</si>
  <si>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</si>
  <si>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</si>
  <si>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</si>
  <si>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</si>
  <si>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</si>
  <si>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</si>
  <si>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</si>
  <si>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</si>
  <si>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</si>
  <si>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</si>
  <si>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</si>
  <si>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</si>
  <si>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</si>
  <si>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</si>
  <si>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</si>
  <si>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</si>
  <si>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</si>
  <si>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</si>
  <si>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</si>
  <si>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</si>
  <si>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</si>
  <si>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</si>
  <si>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</si>
  <si>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</si>
  <si>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</si>
  <si>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</si>
  <si>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</si>
  <si>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</si>
  <si>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</si>
  <si>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</si>
  <si>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</si>
  <si>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</si>
  <si>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</si>
  <si>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</si>
  <si>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</si>
  <si>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</si>
  <si>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</si>
  <si>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</si>
  <si>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</si>
  <si>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</si>
  <si>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</si>
  <si>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</si>
  <si>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</si>
  <si>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</si>
  <si>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</si>
  <si>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</si>
  <si>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</si>
  <si>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</si>
  <si>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</si>
  <si>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</si>
  <si>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</si>
  <si>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</si>
  <si>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</si>
  <si>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</si>
  <si>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</si>
  <si>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</si>
  <si>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</si>
  <si>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</si>
  <si>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</si>
  <si>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</si>
  <si>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</si>
  <si>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</si>
  <si>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</si>
  <si>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</si>
  <si>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</si>
  <si>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</si>
  <si>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</si>
  <si>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</si>
  <si>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</si>
  <si>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</si>
  <si>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</si>
  <si>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</si>
  <si>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</si>
  <si>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</si>
  <si>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</si>
  <si>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</si>
  <si>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</si>
  <si>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</si>
  <si>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</si>
  <si>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</si>
  <si>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</si>
  <si>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</si>
  <si>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</si>
  <si>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</si>
  <si>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</si>
  <si>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</si>
  <si>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</si>
  <si>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</si>
  <si>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</si>
  <si>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</si>
  <si>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</si>
  <si>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</si>
  <si>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</si>
  <si>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</si>
  <si>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</si>
  <si>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</si>
  <si>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</si>
  <si>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</si>
  <si>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</si>
  <si>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</si>
  <si>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</si>
  <si>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</si>
  <si>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</si>
  <si>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</si>
  <si>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</si>
  <si>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</si>
  <si>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</si>
  <si>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</si>
  <si>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</si>
  <si>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</si>
  <si>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</si>
  <si>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</si>
  <si>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</si>
  <si>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</si>
  <si>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</si>
  <si>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</si>
  <si>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</si>
  <si>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</si>
  <si>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</si>
  <si>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</si>
  <si>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</si>
  <si>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</si>
  <si>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</si>
  <si>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</si>
  <si>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</si>
  <si>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</si>
  <si>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</si>
  <si>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</si>
  <si>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</si>
  <si>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</si>
  <si>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</si>
  <si>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</si>
  <si>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</si>
  <si>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</si>
  <si>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</si>
  <si>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</si>
  <si>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</si>
  <si>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</si>
  <si>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</si>
  <si>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</si>
  <si>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</si>
  <si>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</si>
  <si>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</si>
  <si>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</si>
  <si>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</si>
  <si>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</si>
  <si>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</si>
  <si>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</si>
  <si>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</si>
  <si>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</si>
  <si>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</si>
  <si>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</si>
  <si>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</si>
  <si>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</si>
  <si>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</si>
  <si>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</si>
  <si>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</si>
  <si>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</si>
  <si>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</si>
  <si>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</si>
  <si>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</si>
  <si>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</si>
  <si>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</si>
  <si>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</si>
  <si>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</si>
  <si>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</si>
  <si>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</si>
  <si>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</si>
  <si>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</si>
  <si>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</si>
  <si>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</si>
  <si>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</si>
  <si>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</si>
  <si>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</si>
  <si>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</si>
  <si>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</si>
  <si>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</si>
  <si>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</si>
  <si>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</si>
  <si>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</si>
  <si>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</si>
  <si>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</si>
  <si>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</si>
  <si>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</si>
  <si>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</si>
  <si>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</si>
  <si>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</si>
  <si>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</si>
  <si>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</si>
  <si>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</si>
  <si>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</si>
  <si>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</si>
  <si>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</si>
  <si>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</si>
  <si>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</si>
  <si>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</si>
  <si>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</si>
  <si>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</si>
  <si>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</si>
  <si>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</si>
  <si>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</si>
  <si>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</si>
  <si>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</si>
  <si>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</si>
  <si>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</si>
  <si>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</si>
  <si>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</si>
  <si>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</si>
  <si>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</si>
  <si>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</si>
  <si>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</si>
  <si>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</si>
  <si>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</si>
  <si>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</si>
  <si>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</si>
  <si>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</si>
  <si>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</si>
  <si>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</si>
  <si>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</si>
  <si>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</si>
  <si>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</si>
  <si>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</si>
  <si>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</si>
  <si>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</si>
  <si>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</si>
  <si>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</si>
  <si>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</si>
  <si>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</si>
  <si>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</si>
  <si>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</si>
  <si>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</si>
  <si>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</si>
  <si>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</si>
  <si>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</si>
  <si>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</si>
  <si>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</si>
  <si>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</si>
  <si>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</si>
  <si>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</si>
  <si>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</si>
  <si>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</si>
  <si>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</si>
  <si>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</si>
  <si>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</si>
  <si>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</si>
  <si>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</si>
  <si>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</si>
  <si>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</si>
  <si>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</si>
  <si>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</si>
  <si>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</si>
  <si>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</si>
  <si>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</si>
  <si>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</si>
  <si>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</si>
  <si>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</si>
  <si>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</si>
  <si>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</si>
  <si>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</si>
  <si>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</si>
  <si>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</si>
  <si>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</si>
  <si>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</si>
  <si>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</si>
  <si>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</si>
  <si>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</si>
  <si>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</si>
  <si>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</si>
  <si>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</si>
  <si>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</si>
  <si>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</si>
  <si>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</si>
  <si>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</si>
  <si>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</si>
  <si>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</si>
  <si>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</si>
  <si>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</si>
  <si>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</si>
  <si>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</si>
  <si>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</si>
  <si>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</si>
  <si>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</si>
  <si>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</si>
  <si>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</si>
  <si>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</si>
  <si>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</si>
  <si>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</si>
  <si>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</si>
  <si>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</si>
  <si>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</si>
  <si>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</si>
  <si>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</si>
  <si>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</si>
  <si>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</si>
  <si>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</si>
  <si>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</si>
  <si>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</si>
  <si>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</si>
  <si>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</si>
  <si>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</si>
  <si>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</si>
  <si>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</si>
  <si>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</si>
  <si>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</si>
  <si>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</si>
  <si>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</si>
  <si>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</si>
  <si>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</si>
  <si>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</si>
  <si>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</si>
  <si>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</si>
  <si>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</si>
  <si>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</si>
  <si>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</si>
  <si>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</si>
  <si>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</si>
  <si>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</si>
  <si>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</si>
  <si>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</si>
  <si>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</si>
  <si>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</si>
  <si>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</si>
  <si>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</si>
  <si>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</si>
  <si>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</si>
  <si>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</si>
  <si>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</si>
  <si>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</si>
  <si>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</si>
  <si>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</si>
  <si>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</si>
  <si>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</si>
  <si>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</si>
  <si>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</si>
  <si>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</si>
  <si>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</si>
  <si>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</si>
  <si>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</si>
  <si>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</si>
  <si>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</si>
  <si>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</si>
  <si>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</si>
  <si>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</si>
  <si>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</si>
  <si>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</si>
  <si>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</si>
  <si>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</si>
  <si>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</si>
  <si>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</si>
  <si>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</si>
  <si>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</si>
  <si>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</si>
  <si>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</si>
  <si>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</si>
  <si>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</si>
  <si>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</si>
  <si>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</si>
  <si>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</si>
  <si>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</si>
  <si>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</si>
  <si>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</si>
  <si>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</si>
  <si>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</si>
  <si>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</si>
  <si>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</si>
  <si>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</si>
  <si>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</si>
  <si>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</si>
  <si>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</si>
  <si>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</si>
  <si>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</si>
  <si>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</si>
  <si>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</si>
  <si>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</si>
  <si>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</si>
  <si>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</si>
  <si>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</si>
  <si>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</si>
  <si>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</si>
  <si>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</si>
  <si>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</si>
  <si>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</si>
  <si>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</si>
  <si>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</si>
  <si>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</si>
  <si>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</si>
  <si>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</si>
  <si>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</si>
  <si>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</si>
  <si>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</si>
  <si>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</si>
  <si>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</si>
  <si>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</si>
  <si>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</si>
  <si>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</si>
  <si>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</si>
  <si>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</si>
  <si>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</si>
  <si>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</si>
  <si>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</si>
  <si>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</si>
  <si>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</si>
  <si>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</si>
  <si>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</si>
  <si>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</si>
  <si>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</si>
  <si>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</si>
  <si>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</si>
  <si>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</si>
  <si>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</si>
  <si>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</si>
  <si>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</si>
  <si>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</si>
  <si>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</si>
  <si>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</si>
  <si>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</si>
  <si>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</si>
  <si>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</si>
  <si>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</si>
  <si>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</si>
  <si>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</si>
  <si>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</si>
  <si>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</si>
  <si>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</si>
  <si>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</si>
  <si>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</si>
  <si>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</si>
  <si>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</si>
  <si>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</si>
  <si>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</si>
  <si>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</si>
  <si>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</si>
  <si>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</si>
  <si>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</si>
  <si>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</si>
  <si>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</si>
  <si>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</si>
  <si>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</si>
  <si>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</si>
  <si>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</si>
  <si>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</si>
  <si>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</si>
  <si>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</si>
  <si>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</si>
  <si>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</si>
  <si>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</si>
  <si>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</si>
  <si>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</si>
  <si>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</si>
  <si>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</si>
  <si>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</si>
  <si>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</si>
  <si>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</si>
  <si>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</si>
  <si>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</si>
  <si>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</si>
  <si>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</si>
  <si>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</si>
  <si>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</si>
  <si>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</si>
  <si>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</si>
  <si>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</si>
  <si>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</si>
  <si>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</si>
  <si>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</si>
  <si>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</si>
  <si>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</si>
  <si>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</si>
  <si>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</si>
  <si>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</si>
  <si>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</si>
  <si>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</si>
  <si>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</si>
  <si>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</si>
  <si>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</si>
  <si>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</si>
  <si>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</si>
  <si>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</si>
  <si>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</si>
  <si>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</si>
  <si>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</si>
  <si>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</si>
  <si>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</si>
  <si>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</si>
  <si>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</si>
  <si>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</si>
  <si>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</si>
  <si>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</si>
  <si>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</si>
  <si>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</si>
  <si>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</si>
  <si>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</si>
  <si>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</si>
  <si>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</si>
  <si>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</si>
  <si>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</si>
  <si>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</si>
  <si>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</si>
  <si>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</si>
  <si>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</si>
  <si>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</si>
  <si>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</si>
  <si>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</si>
  <si>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</si>
  <si>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</si>
  <si>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</si>
  <si>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</si>
  <si>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</si>
  <si>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</si>
  <si>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</si>
  <si>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</si>
  <si>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</si>
  <si>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</si>
  <si>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</si>
  <si>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</si>
  <si>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</si>
  <si>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</si>
  <si>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</si>
  <si>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</si>
  <si>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</si>
  <si>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</si>
  <si>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</si>
  <si>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</si>
  <si>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</si>
  <si>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</si>
  <si>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</si>
  <si>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</si>
  <si>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</si>
  <si>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</si>
  <si>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</si>
  <si>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</si>
  <si>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</si>
  <si>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</si>
  <si>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</si>
  <si>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</si>
  <si>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</si>
  <si>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</si>
  <si>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</si>
  <si>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</si>
  <si>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</si>
  <si>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</si>
  <si>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</si>
  <si>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</si>
  <si>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</si>
  <si>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</si>
  <si>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</si>
  <si>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</si>
  <si>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</si>
  <si>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</si>
  <si>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</si>
  <si>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</si>
  <si>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</si>
  <si>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</si>
  <si>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</si>
  <si>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</si>
  <si>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</si>
  <si>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</si>
  <si>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</si>
  <si>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</si>
  <si>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</si>
  <si>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</si>
  <si>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</si>
  <si>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</si>
  <si>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</si>
  <si>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</si>
  <si>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</si>
  <si>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</si>
  <si>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</si>
  <si>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</si>
  <si>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</si>
  <si>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</si>
  <si>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</si>
  <si>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</si>
  <si>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</si>
  <si>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</si>
  <si>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</si>
  <si>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</si>
  <si>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</si>
  <si>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</si>
  <si>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</si>
  <si>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</si>
  <si>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</si>
  <si>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</si>
  <si>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</si>
  <si>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</si>
  <si>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</si>
  <si>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</si>
  <si>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</si>
  <si>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</si>
  <si>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</si>
  <si>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</si>
  <si>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</si>
  <si>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</si>
  <si>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</si>
  <si>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</si>
  <si>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</si>
  <si>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</si>
  <si>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</si>
  <si>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</si>
  <si>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</si>
  <si>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</si>
  <si>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</si>
  <si>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</si>
  <si>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</si>
  <si>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</si>
  <si>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</si>
  <si>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</si>
  <si>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</si>
  <si>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</si>
  <si>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</si>
  <si>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</si>
  <si>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</si>
  <si>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</si>
  <si>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</si>
  <si>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</si>
  <si>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</si>
  <si>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</si>
  <si>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</si>
  <si>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</si>
  <si>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</si>
  <si>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</si>
  <si>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</si>
  <si>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</si>
  <si>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</si>
  <si>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</si>
  <si>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</si>
  <si>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</si>
  <si>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</si>
  <si>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</si>
  <si>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</si>
  <si>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</si>
  <si>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</si>
  <si>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</si>
  <si>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</si>
  <si>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</si>
  <si>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</si>
  <si>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</si>
  <si>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</si>
  <si>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</si>
  <si>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</si>
  <si>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</si>
  <si>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</si>
  <si>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</si>
  <si>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</si>
  <si>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</si>
  <si>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</si>
  <si>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</si>
  <si>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</si>
  <si>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</si>
  <si>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</si>
  <si>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</si>
  <si>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</si>
  <si>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</si>
  <si>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</si>
  <si>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</si>
  <si>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</si>
  <si>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</si>
  <si>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</si>
  <si>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</si>
  <si>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</si>
  <si>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</si>
  <si>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</si>
  <si>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</si>
  <si>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</si>
  <si>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</si>
  <si>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</si>
  <si>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</si>
  <si>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</si>
  <si>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</si>
  <si>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</si>
  <si>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</si>
  <si>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</si>
  <si>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</si>
  <si>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</si>
  <si>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</si>
  <si>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</si>
  <si>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</si>
  <si>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</si>
  <si>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</si>
  <si>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</si>
  <si>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</si>
  <si>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</si>
  <si>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</si>
  <si>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</si>
  <si>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</si>
  <si>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</si>
  <si>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</si>
  <si>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</si>
  <si>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</si>
  <si>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</si>
  <si>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</si>
  <si>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</si>
  <si>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</si>
  <si>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</si>
  <si>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</si>
  <si>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</si>
  <si>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</si>
  <si>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</si>
  <si>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</si>
  <si>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</si>
  <si>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</si>
  <si>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</si>
  <si>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</si>
  <si>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</si>
  <si>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</si>
  <si>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</si>
  <si>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</si>
  <si>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</si>
  <si>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</si>
  <si>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</si>
  <si>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</si>
  <si>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</si>
  <si>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</si>
  <si>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</si>
  <si>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</si>
  <si>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</si>
  <si>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</si>
  <si>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</si>
  <si>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</si>
  <si>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</si>
  <si>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</si>
  <si>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</si>
  <si>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</si>
  <si>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</si>
  <si>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</si>
  <si>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</si>
  <si>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</si>
  <si>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</si>
  <si>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</si>
  <si>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</si>
  <si>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</si>
  <si>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</si>
  <si>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</si>
  <si>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</si>
  <si>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</si>
  <si>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</si>
  <si>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</si>
  <si>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</si>
  <si>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</si>
  <si>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</si>
  <si>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</si>
  <si>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</si>
  <si>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</si>
  <si>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</si>
  <si>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</si>
  <si>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</si>
  <si>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</si>
  <si>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</si>
  <si>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</si>
  <si>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</si>
  <si>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</si>
  <si>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</si>
  <si>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</si>
  <si>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</si>
  <si>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</si>
  <si>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</si>
  <si>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</si>
  <si>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</si>
  <si>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</si>
  <si>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</si>
  <si>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</si>
  <si>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</si>
  <si>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</si>
  <si>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</si>
  <si>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</si>
  <si>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</si>
  <si>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</si>
  <si>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</si>
  <si>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</si>
  <si>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</si>
  <si>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</si>
  <si>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</si>
  <si>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</si>
  <si>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</si>
  <si>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</si>
  <si>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</si>
  <si>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</si>
  <si>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</si>
  <si>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</si>
  <si>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</si>
  <si>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</si>
  <si>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</si>
  <si>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</si>
  <si>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</si>
  <si>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</si>
  <si>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</si>
  <si>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</si>
  <si>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</si>
  <si>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</si>
  <si>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</si>
  <si>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</si>
  <si>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</si>
  <si>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</si>
  <si>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</si>
  <si>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</si>
  <si>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</si>
  <si>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</si>
  <si>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</si>
  <si>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</si>
  <si>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</si>
  <si>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</si>
  <si>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</si>
  <si>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</si>
  <si>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</si>
  <si>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</si>
  <si>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</si>
  <si>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</si>
  <si>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</si>
  <si>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</si>
  <si>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</si>
  <si>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</si>
  <si>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</si>
  <si>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</si>
  <si>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</si>
  <si>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</si>
  <si>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</si>
  <si>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</si>
  <si>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</si>
  <si>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</si>
  <si>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</si>
  <si>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</si>
  <si>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</si>
  <si>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</si>
  <si>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</si>
  <si>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</si>
  <si>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</si>
  <si>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</si>
  <si>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</si>
  <si>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</si>
  <si>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</si>
  <si>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</si>
  <si>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</si>
  <si>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</si>
  <si>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</si>
  <si>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</si>
  <si>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</si>
  <si>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</si>
  <si>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</si>
  <si>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</si>
  <si>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</si>
  <si>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</si>
  <si>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</si>
  <si>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</si>
  <si>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</si>
  <si>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</si>
  <si>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</si>
  <si>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</si>
  <si>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</si>
  <si>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</si>
  <si>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</si>
  <si>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</si>
  <si>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</si>
  <si>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</si>
  <si>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</si>
  <si>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</si>
  <si>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</si>
  <si>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</si>
  <si>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</si>
  <si>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</si>
  <si>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</si>
  <si>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</si>
  <si>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</si>
  <si>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</si>
  <si>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</si>
  <si>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</si>
  <si>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</si>
  <si>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</si>
  <si>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</si>
  <si>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</si>
  <si>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</si>
  <si>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</si>
  <si>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</si>
  <si>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</si>
  <si>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</si>
  <si>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</si>
  <si>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</si>
  <si>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</si>
  <si>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</si>
  <si>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</si>
  <si>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</si>
  <si>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</si>
  <si>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</si>
  <si>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</si>
  <si>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</si>
  <si>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</si>
  <si>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</si>
  <si>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</si>
  <si>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</si>
  <si>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</si>
  <si>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</si>
  <si>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</si>
  <si>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</si>
  <si>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</si>
  <si>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</si>
  <si>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</si>
  <si>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</si>
  <si>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</si>
  <si>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</si>
  <si>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</si>
  <si>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</si>
  <si>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</si>
  <si>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</si>
  <si>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</si>
  <si>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</si>
  <si>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</si>
  <si>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</si>
  <si>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</si>
  <si>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</si>
  <si>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</si>
  <si>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</si>
  <si>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</si>
  <si>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</si>
  <si>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</si>
  <si>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</si>
  <si>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</si>
  <si>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</si>
  <si>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</si>
  <si>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</si>
  <si>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</si>
  <si>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</si>
  <si>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</si>
  <si>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</si>
  <si>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</si>
  <si>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</si>
  <si>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</si>
  <si>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</si>
  <si>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</si>
  <si>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</si>
  <si>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</si>
  <si>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</si>
  <si>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</si>
  <si>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</si>
  <si>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</si>
  <si>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</si>
  <si>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</si>
  <si>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</si>
  <si>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</si>
  <si>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</si>
  <si>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</si>
  <si>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</si>
  <si>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</si>
  <si>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</si>
  <si>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</si>
  <si>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</si>
  <si>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</si>
  <si>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</si>
  <si>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</si>
  <si>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</si>
  <si>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</si>
  <si>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</si>
  <si>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</si>
  <si>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</si>
  <si>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</si>
  <si>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</si>
  <si>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</si>
  <si>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</si>
  <si>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</si>
  <si>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</si>
  <si>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</si>
  <si>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</si>
  <si>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</si>
  <si>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</si>
  <si>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</si>
  <si>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</si>
  <si>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</si>
  <si>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</si>
  <si>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</si>
  <si>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</si>
  <si>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</si>
  <si>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</si>
  <si>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</si>
  <si>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</si>
  <si>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</si>
  <si>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</si>
  <si>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</si>
  <si>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</si>
  <si>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</si>
  <si>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</si>
  <si>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</si>
  <si>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</si>
  <si>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</si>
  <si>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</si>
  <si>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</si>
  <si>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</si>
  <si>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</si>
  <si>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</si>
  <si>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</si>
  <si>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</si>
  <si>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</si>
  <si>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</si>
  <si>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</si>
  <si>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</si>
  <si>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</si>
  <si>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</si>
  <si>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</si>
  <si>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</si>
  <si>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</si>
  <si>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</si>
  <si>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</si>
  <si>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</si>
  <si>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</si>
  <si>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</si>
  <si>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</si>
  <si>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</si>
  <si>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</si>
  <si>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</si>
  <si>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</si>
  <si>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</si>
  <si>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</si>
  <si>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</si>
  <si>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</si>
  <si>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</si>
  <si>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</si>
  <si>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</si>
  <si>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</si>
  <si>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</si>
  <si>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</si>
  <si>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</si>
  <si>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</si>
  <si>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</si>
  <si>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</si>
  <si>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</si>
  <si>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</si>
  <si>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</si>
  <si>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</si>
  <si>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</si>
  <si>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</si>
  <si>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</si>
  <si>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</si>
  <si>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</si>
  <si>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</si>
  <si>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</si>
  <si>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</si>
  <si>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</si>
  <si>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</si>
  <si>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</si>
  <si>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</si>
  <si>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</si>
  <si>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</si>
  <si>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</si>
  <si>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</si>
  <si>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</si>
  <si>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</si>
  <si>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</si>
  <si>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</si>
  <si>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</si>
  <si>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</si>
  <si>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</si>
  <si>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</si>
  <si>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</si>
  <si>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</si>
  <si>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</si>
  <si>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</si>
  <si>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</si>
  <si>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</si>
  <si>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</si>
  <si>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</si>
  <si>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</si>
  <si>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</si>
  <si>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</si>
  <si>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</si>
  <si>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</si>
  <si>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</si>
  <si>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</si>
  <si>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</si>
  <si>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</si>
  <si>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</si>
  <si>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</si>
  <si>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</si>
  <si>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</si>
  <si>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</si>
  <si>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</si>
  <si>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</si>
  <si>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</si>
  <si>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</si>
  <si>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</si>
  <si>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</si>
  <si>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</si>
  <si>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</si>
  <si>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</si>
  <si>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</si>
  <si>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</si>
  <si>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</si>
  <si>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</si>
  <si>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</si>
  <si>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</si>
  <si>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</si>
  <si>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</si>
  <si>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</si>
  <si>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</si>
  <si>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</si>
  <si>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</si>
  <si>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</si>
  <si>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</si>
  <si>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</si>
  <si>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</si>
  <si>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</si>
  <si>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</si>
  <si>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</si>
  <si>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</si>
  <si>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</si>
  <si>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</si>
  <si>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</si>
  <si>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</si>
  <si>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</si>
  <si>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</si>
  <si>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</si>
  <si>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</si>
  <si>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</si>
  <si>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</si>
  <si>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</si>
  <si>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</si>
  <si>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</si>
  <si>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</si>
  <si>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</si>
  <si>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</si>
  <si>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</si>
  <si>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</si>
  <si>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</si>
  <si>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</si>
  <si>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</si>
  <si>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</si>
  <si>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</si>
  <si>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</si>
  <si>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</si>
  <si>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</si>
  <si>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</si>
  <si>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</si>
  <si>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</si>
  <si>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</si>
  <si>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</si>
  <si>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</si>
  <si>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</si>
  <si>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</si>
  <si>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</si>
  <si>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</si>
  <si>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</si>
  <si>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</si>
  <si>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</si>
  <si>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</si>
  <si>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</si>
  <si>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</si>
  <si>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</si>
  <si>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</si>
  <si>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</si>
  <si>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</si>
  <si>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</si>
  <si>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</si>
  <si>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</si>
  <si>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</si>
  <si>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</si>
  <si>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</si>
  <si>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</si>
  <si>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</si>
  <si>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</si>
  <si>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</si>
  <si>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</si>
  <si>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</si>
  <si>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</si>
  <si>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</si>
  <si>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</si>
  <si>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</si>
  <si>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</si>
  <si>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</si>
  <si>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</si>
  <si>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</si>
  <si>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</si>
  <si>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</si>
  <si>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</si>
  <si>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</si>
  <si>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</si>
  <si>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</si>
  <si>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</si>
  <si>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</si>
  <si>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</si>
  <si>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</si>
  <si>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</si>
  <si>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</si>
  <si>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</si>
  <si>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</si>
  <si>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</si>
  <si>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</si>
  <si>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</si>
  <si>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</si>
  <si>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</si>
  <si>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</si>
  <si>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</si>
  <si>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</si>
  <si>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</si>
  <si>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</si>
  <si>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</si>
  <si>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</si>
  <si>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</si>
  <si>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</si>
  <si>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</si>
  <si>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</si>
  <si>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</si>
  <si>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</si>
  <si>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</si>
  <si>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</si>
  <si>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</si>
  <si>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</si>
  <si>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</si>
  <si>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</si>
  <si>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</si>
  <si>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</si>
  <si>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</si>
  <si>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</si>
  <si>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</si>
  <si>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</si>
  <si>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</si>
  <si>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</si>
  <si>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</si>
  <si>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</si>
  <si>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</si>
  <si>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</si>
  <si>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</si>
  <si>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</si>
  <si>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</si>
  <si>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</si>
  <si>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</si>
  <si>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</si>
  <si>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</si>
  <si>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</si>
  <si>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</si>
  <si>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</si>
  <si>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</si>
  <si>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</si>
  <si>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</si>
  <si>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</si>
  <si>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</si>
  <si>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</si>
  <si>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</si>
  <si>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</si>
  <si>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</si>
  <si>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</si>
  <si>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</si>
  <si>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</si>
  <si>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</si>
  <si>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</si>
  <si>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</si>
  <si>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</si>
  <si>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</si>
  <si>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</si>
  <si>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</si>
  <si>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</si>
  <si>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</si>
  <si>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</si>
  <si>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</si>
  <si>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</si>
  <si>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</si>
  <si>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</si>
  <si>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</si>
  <si>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</si>
  <si>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</si>
  <si>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</si>
  <si>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</si>
  <si>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</si>
  <si>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</si>
  <si>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</si>
  <si>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</si>
  <si>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</si>
  <si>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</si>
  <si>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</si>
  <si>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</si>
  <si>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</si>
  <si>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</si>
  <si>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</si>
  <si>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</si>
  <si>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</si>
  <si>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</si>
  <si>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</si>
  <si>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</si>
  <si>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</si>
  <si>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</si>
  <si>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</si>
  <si>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</si>
  <si>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</si>
  <si>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</si>
  <si>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</si>
  <si>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</si>
  <si>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</si>
  <si>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</si>
  <si>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</si>
  <si>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</si>
  <si>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</si>
  <si>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</si>
  <si>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</si>
  <si>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</si>
  <si>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</si>
  <si>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</si>
  <si>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</si>
  <si>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</si>
  <si>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</si>
  <si>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</si>
  <si>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</si>
  <si>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</si>
  <si>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</si>
  <si>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</si>
  <si>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</si>
  <si>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</si>
  <si>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</si>
  <si>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</si>
  <si>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</si>
  <si>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</si>
  <si>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</si>
  <si>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</si>
  <si>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</si>
  <si>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</si>
  <si>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</si>
  <si>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</si>
  <si>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</si>
  <si>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</si>
  <si>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</si>
  <si>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</si>
  <si>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</si>
  <si>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</si>
  <si>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</si>
  <si>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</si>
  <si>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</si>
  <si>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</si>
  <si>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</si>
  <si>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</si>
  <si>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</si>
  <si>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</si>
  <si>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</si>
  <si>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</si>
  <si>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</si>
  <si>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</si>
  <si>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</si>
  <si>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</si>
  <si>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</si>
  <si>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</si>
  <si>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</si>
  <si>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</si>
  <si>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</si>
  <si>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</si>
  <si>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</si>
  <si>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</si>
  <si>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</si>
  <si>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</si>
  <si>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</si>
  <si>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</si>
  <si>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</si>
  <si>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</si>
  <si>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</si>
  <si>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</si>
  <si>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</si>
  <si>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</si>
  <si>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</si>
  <si>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</si>
  <si>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</si>
  <si>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</si>
  <si>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</si>
  <si>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</si>
  <si>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</si>
  <si>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</si>
  <si>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</si>
  <si>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</si>
  <si>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</si>
  <si>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</si>
  <si>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</si>
  <si>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</si>
  <si>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</si>
  <si>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</si>
  <si>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</si>
  <si>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</si>
  <si>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</si>
  <si>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</si>
  <si>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</si>
  <si>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</si>
  <si>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</si>
  <si>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</si>
  <si>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</si>
  <si>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</si>
  <si>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</si>
  <si>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</si>
  <si>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</si>
  <si>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</si>
  <si>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</si>
  <si>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</si>
  <si>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</si>
  <si>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</si>
  <si>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</si>
  <si>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</si>
  <si>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</si>
  <si>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</si>
  <si>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</si>
  <si>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</si>
  <si>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</si>
  <si>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</si>
  <si>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</si>
  <si>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</si>
  <si>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</si>
  <si>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</si>
  <si>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</si>
  <si>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</si>
  <si>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</si>
  <si>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</si>
  <si>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</si>
  <si>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</si>
  <si>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</si>
  <si>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</si>
  <si>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</si>
  <si>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</si>
  <si>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</si>
  <si>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</si>
  <si>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</si>
  <si>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</si>
  <si>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</si>
  <si>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</si>
  <si>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</si>
  <si>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</si>
  <si>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</si>
  <si>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</si>
  <si>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</si>
  <si>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</si>
  <si>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</si>
  <si>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</si>
  <si>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</si>
  <si>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</si>
  <si>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</si>
  <si>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</si>
  <si>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</si>
  <si>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</si>
  <si>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</si>
  <si>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</si>
  <si>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</si>
  <si>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</si>
  <si>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</si>
  <si>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</si>
  <si>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</si>
  <si>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</si>
  <si>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</si>
  <si>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</si>
  <si>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</si>
  <si>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</si>
  <si>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</si>
  <si>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</si>
  <si>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</si>
  <si>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</si>
  <si>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</si>
  <si>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</si>
  <si>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</si>
  <si>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</si>
  <si>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</si>
  <si>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</si>
  <si>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</si>
  <si>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</si>
  <si>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</si>
  <si>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</si>
  <si>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</si>
  <si>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</si>
  <si>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</si>
  <si>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</si>
  <si>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</si>
  <si>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</si>
  <si>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</si>
  <si>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</si>
  <si>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</si>
  <si>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</si>
  <si>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</si>
  <si>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</si>
  <si>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</si>
  <si>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</si>
  <si>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</si>
  <si>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</si>
  <si>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</si>
  <si>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</si>
  <si>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</si>
  <si>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</si>
  <si>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</si>
  <si>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</si>
  <si>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</si>
  <si>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</si>
  <si>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</si>
  <si>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</si>
  <si>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</si>
  <si>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</si>
  <si>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</si>
  <si>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</si>
  <si>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</si>
  <si>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</si>
  <si>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</si>
  <si>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</si>
  <si>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</si>
  <si>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</si>
  <si>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</si>
  <si>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</si>
  <si>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</si>
  <si>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</si>
  <si>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</si>
  <si>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</si>
  <si>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</si>
  <si>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</si>
  <si>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</si>
  <si>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</si>
  <si>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</si>
  <si>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</si>
  <si>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</si>
  <si>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</si>
  <si>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</si>
  <si>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</si>
  <si>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</si>
  <si>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</si>
  <si>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</si>
  <si>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</si>
  <si>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</si>
  <si>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</si>
  <si>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</si>
  <si>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</si>
  <si>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</si>
  <si>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</si>
  <si>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</si>
  <si>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</si>
  <si>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</si>
  <si>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</si>
  <si>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</si>
  <si>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</si>
  <si>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</si>
  <si>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</si>
  <si>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</si>
  <si>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</si>
  <si>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</si>
  <si>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</si>
  <si>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</si>
  <si>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</si>
  <si>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</si>
  <si>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</si>
  <si>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</si>
  <si>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</si>
  <si>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</si>
  <si>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</si>
  <si>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</si>
  <si>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</si>
  <si>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</si>
  <si>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</si>
  <si>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</si>
  <si>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</si>
  <si>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</si>
  <si>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</si>
  <si>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</si>
  <si>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</si>
  <si>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</si>
  <si>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</si>
  <si>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</si>
  <si>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</si>
  <si>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</si>
  <si>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</si>
  <si>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</si>
  <si>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</si>
  <si>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</si>
  <si>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</si>
  <si>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</si>
  <si>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</si>
  <si>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</si>
  <si>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</si>
  <si>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</si>
  <si>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</si>
  <si>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</si>
  <si>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</si>
  <si>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</si>
  <si>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</si>
  <si>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</si>
  <si>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</si>
  <si>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</si>
  <si>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</si>
  <si>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</si>
  <si>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</si>
  <si>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</si>
  <si>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</si>
  <si>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</si>
  <si>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</si>
  <si>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</si>
  <si>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</si>
  <si>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</si>
  <si>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</si>
  <si>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</si>
  <si>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</si>
  <si>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</si>
  <si>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</si>
  <si>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</si>
  <si>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</si>
  <si>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</si>
  <si>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</si>
  <si>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</si>
  <si>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</si>
  <si>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</si>
  <si>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</si>
  <si>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</si>
  <si>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</si>
  <si>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</si>
  <si>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</si>
  <si>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</si>
  <si>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</si>
  <si>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</si>
  <si>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</si>
  <si>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</si>
  <si>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</si>
  <si>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</si>
  <si>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</si>
  <si>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</si>
  <si>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</si>
  <si>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</si>
  <si>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</si>
  <si>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</si>
  <si>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</si>
  <si>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</si>
  <si>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</si>
  <si>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</si>
  <si>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</si>
  <si>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</si>
  <si>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</si>
  <si>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</si>
  <si>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</si>
  <si>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</si>
  <si>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</si>
  <si>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</si>
  <si>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</si>
  <si>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</si>
  <si>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</si>
  <si>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</si>
  <si>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</si>
  <si>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</si>
  <si>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</si>
  <si>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</si>
  <si>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</si>
  <si>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</si>
  <si>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</si>
  <si>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</si>
  <si>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</si>
  <si>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</si>
  <si>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</si>
  <si>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</si>
  <si>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</si>
  <si>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</si>
  <si>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</si>
  <si>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</si>
  <si>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</si>
  <si>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</si>
  <si>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</si>
  <si>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</si>
  <si>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</si>
  <si>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</si>
  <si>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</si>
  <si>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</si>
  <si>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</si>
  <si>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</si>
  <si>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</si>
  <si>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</si>
  <si>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</si>
  <si>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</si>
  <si>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</si>
  <si>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</si>
  <si>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</si>
  <si>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</si>
  <si>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</si>
  <si>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</si>
  <si>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</si>
  <si>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</si>
  <si>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</si>
  <si>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</si>
  <si>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</si>
  <si>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</si>
  <si>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</si>
  <si>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</si>
  <si>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</si>
  <si>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</si>
  <si>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</si>
  <si>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</si>
  <si>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</si>
  <si>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</si>
  <si>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</si>
  <si>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</si>
  <si>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</si>
  <si>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</si>
  <si>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</si>
  <si>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</si>
  <si>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</si>
  <si>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</si>
  <si>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</si>
  <si>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</si>
  <si>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</si>
  <si>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</si>
  <si>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</si>
  <si>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</si>
  <si>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</si>
  <si>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</si>
  <si>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</si>
  <si>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</si>
  <si>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</si>
  <si>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</si>
  <si>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</si>
  <si>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</si>
  <si>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</si>
  <si>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</si>
  <si>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</si>
  <si>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</si>
  <si>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</si>
  <si>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</si>
  <si>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</si>
  <si>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</si>
  <si>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</si>
  <si>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</si>
  <si>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</si>
  <si>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</si>
  <si>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</si>
  <si>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</si>
  <si>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</si>
  <si>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</si>
  <si>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</si>
  <si>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</si>
  <si>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</si>
  <si>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</si>
  <si>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</si>
  <si>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</si>
  <si>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</si>
  <si>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</si>
  <si>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</si>
  <si>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</si>
  <si>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</si>
  <si>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</si>
  <si>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</si>
  <si>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</si>
  <si>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</si>
  <si>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</si>
  <si>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</si>
  <si>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</si>
  <si>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</si>
  <si>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</si>
  <si>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</si>
  <si>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</si>
  <si>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</si>
  <si>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</si>
  <si>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</si>
  <si>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</si>
  <si>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</si>
  <si>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</si>
  <si>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</si>
  <si>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</si>
  <si>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</si>
  <si>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</si>
  <si>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</si>
  <si>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</si>
  <si>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</si>
  <si>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</si>
  <si>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</si>
  <si>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</si>
  <si>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</si>
  <si>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</si>
  <si>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</si>
  <si>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</si>
  <si>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</si>
  <si>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</si>
  <si>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</si>
  <si>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</si>
  <si>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</si>
  <si>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</si>
  <si>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</si>
  <si>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</si>
  <si>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</si>
  <si>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</si>
  <si>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</si>
  <si>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</si>
  <si>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</si>
  <si>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</si>
  <si>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</si>
  <si>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</si>
  <si>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</si>
  <si>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</si>
  <si>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</si>
  <si>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</si>
  <si>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</si>
  <si>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</si>
  <si>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</si>
  <si>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</si>
  <si>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</si>
  <si>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</si>
  <si>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</si>
  <si>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</si>
  <si>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</si>
  <si>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</si>
  <si>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</si>
  <si>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</si>
  <si>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</si>
  <si>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</si>
  <si>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</si>
  <si>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</si>
  <si>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</si>
  <si>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</si>
  <si>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</si>
  <si>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</si>
  <si>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</si>
  <si>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</si>
  <si>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</si>
  <si>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</si>
  <si>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</si>
  <si>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</si>
  <si>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</si>
  <si>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</si>
  <si>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</si>
  <si>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</si>
  <si>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</si>
  <si>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</si>
  <si>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</si>
  <si>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</si>
  <si>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</si>
  <si>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</si>
  <si>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</si>
  <si>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</si>
  <si>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</si>
  <si>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</si>
  <si>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</si>
  <si>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</si>
  <si>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</si>
  <si>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</si>
  <si>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</si>
  <si>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</si>
  <si>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</si>
  <si>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</si>
  <si>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</si>
  <si>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</si>
  <si>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</si>
  <si>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</si>
  <si>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</si>
  <si>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</si>
  <si>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</si>
  <si>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</si>
  <si>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</si>
  <si>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</si>
  <si>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</si>
  <si>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</si>
  <si>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</si>
  <si>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</si>
  <si>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</si>
  <si>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</si>
  <si>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</si>
  <si>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</si>
  <si>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</si>
  <si>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</si>
  <si>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</si>
  <si>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</si>
  <si>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</si>
  <si>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</si>
  <si>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</si>
  <si>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</si>
  <si>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</si>
  <si>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</si>
  <si>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</si>
  <si>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</si>
  <si>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</si>
  <si>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</si>
  <si>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</si>
  <si>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</si>
  <si>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</si>
  <si>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</si>
  <si>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</si>
  <si>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</si>
  <si>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</si>
  <si>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</si>
  <si>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</si>
  <si>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</si>
  <si>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</si>
  <si>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</si>
  <si>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</si>
  <si>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</si>
  <si>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</si>
  <si>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</si>
  <si>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</si>
  <si>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</si>
  <si>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</si>
  <si>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</si>
  <si>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</si>
  <si>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</si>
  <si>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</si>
  <si>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</si>
  <si>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</si>
  <si>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</si>
  <si>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</si>
  <si>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</si>
  <si>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</si>
  <si>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</si>
  <si>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</si>
  <si>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</si>
  <si>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</si>
  <si>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</si>
  <si>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</si>
  <si>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</si>
  <si>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</si>
  <si>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</si>
  <si>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</si>
  <si>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</si>
  <si>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</si>
  <si>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</si>
  <si>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</si>
  <si>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</si>
  <si>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</si>
  <si>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</si>
  <si>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</si>
  <si>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</si>
  <si>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</si>
  <si>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</si>
  <si>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</si>
  <si>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</si>
  <si>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</si>
  <si>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</si>
  <si>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</si>
  <si>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</si>
  <si>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</si>
  <si>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</si>
  <si>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</si>
  <si>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</si>
  <si>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</si>
  <si>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</si>
  <si>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</si>
  <si>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</si>
  <si>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</si>
  <si>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</si>
  <si>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</si>
  <si>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</si>
  <si>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</si>
  <si>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</si>
  <si>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</si>
  <si>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</si>
  <si>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</si>
  <si>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</si>
  <si>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</si>
  <si>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</si>
  <si>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</si>
  <si>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</si>
  <si>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</si>
  <si>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</si>
  <si>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</si>
  <si>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</si>
  <si>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</si>
  <si>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</si>
  <si>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</si>
  <si>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</si>
  <si>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</si>
  <si>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</si>
  <si>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</si>
  <si>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</si>
  <si>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</si>
  <si>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</si>
  <si>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</si>
  <si>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</si>
  <si>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</si>
  <si>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</si>
  <si>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</si>
  <si>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</si>
  <si>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</si>
  <si>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</si>
  <si>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</si>
  <si>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</si>
  <si>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</si>
  <si>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</si>
  <si>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</si>
  <si>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</si>
  <si>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</si>
  <si>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</si>
  <si>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</si>
  <si>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</si>
  <si>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</si>
  <si>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</si>
  <si>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</si>
  <si>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</si>
  <si>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</si>
  <si>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</si>
  <si>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</si>
  <si>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</si>
  <si>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</si>
  <si>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</si>
  <si>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</si>
  <si>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</si>
  <si>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</si>
  <si>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</si>
  <si>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</si>
  <si>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</si>
  <si>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</si>
  <si>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</si>
  <si>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</si>
  <si>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</si>
  <si>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</si>
  <si>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</si>
  <si>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</si>
  <si>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</si>
  <si>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</si>
  <si>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</si>
  <si>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</si>
  <si>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</si>
  <si>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</si>
  <si>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</si>
  <si>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</si>
  <si>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</si>
  <si>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</si>
  <si>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</si>
  <si>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</si>
  <si>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</si>
  <si>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</si>
  <si>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</si>
  <si>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</si>
  <si>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</si>
  <si>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</si>
  <si>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</si>
  <si>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</si>
  <si>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</si>
  <si>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</si>
  <si>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</si>
  <si>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</si>
  <si>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</si>
  <si>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</si>
  <si>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</si>
  <si>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</si>
  <si>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</si>
  <si>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</si>
  <si>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</si>
  <si>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</si>
  <si>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</si>
  <si>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</si>
  <si>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</si>
  <si>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</si>
  <si>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</si>
  <si>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</si>
  <si>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</si>
  <si>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</si>
  <si>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</si>
  <si>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</si>
  <si>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</si>
  <si>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</si>
  <si>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</si>
  <si>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</si>
  <si>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</si>
  <si>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</si>
  <si>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</si>
  <si>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</si>
  <si>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</si>
  <si>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</si>
  <si>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</si>
  <si>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</si>
  <si>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</si>
  <si>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</si>
  <si>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</si>
  <si>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</si>
  <si>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</si>
  <si>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</si>
  <si>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</si>
  <si>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</si>
  <si>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</si>
  <si>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</si>
  <si>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</si>
  <si>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</si>
  <si>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</si>
  <si>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</si>
  <si>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</si>
  <si>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</si>
  <si>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</si>
  <si>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</si>
  <si>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</si>
  <si>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</si>
  <si>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</si>
  <si>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</si>
  <si>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</si>
  <si>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</si>
  <si>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</si>
  <si>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</si>
  <si>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</si>
  <si>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</si>
  <si>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</si>
  <si>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</si>
  <si>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</si>
  <si>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</si>
  <si>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</si>
  <si>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</si>
  <si>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</si>
  <si>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</si>
  <si>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</si>
  <si>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</si>
  <si>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</si>
  <si>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</si>
  <si>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</si>
  <si>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</si>
  <si>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</si>
  <si>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</si>
  <si>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</si>
  <si>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</si>
  <si>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</si>
  <si>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</si>
  <si>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</si>
  <si>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</si>
  <si>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</si>
  <si>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</si>
  <si>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</si>
  <si>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</si>
  <si>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</si>
  <si>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</si>
  <si>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</si>
  <si>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</si>
  <si>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</si>
  <si>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</si>
  <si>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</si>
  <si>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</si>
  <si>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</si>
  <si>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</si>
  <si>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</si>
  <si>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</si>
  <si>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</si>
  <si>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</si>
  <si>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</si>
  <si>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</si>
  <si>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</si>
  <si>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</si>
  <si>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</si>
  <si>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</si>
  <si>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</si>
  <si>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</si>
  <si>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</si>
  <si>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</si>
  <si>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</si>
  <si>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</si>
  <si>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</si>
  <si>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</si>
  <si>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</si>
  <si>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</si>
  <si>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</si>
  <si>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</si>
  <si>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</si>
  <si>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</si>
  <si>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</si>
  <si>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</si>
  <si>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</si>
  <si>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</si>
  <si>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</si>
  <si>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</si>
  <si>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</si>
  <si>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</si>
  <si>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</si>
  <si>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</si>
  <si>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</si>
  <si>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</si>
  <si>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</si>
  <si>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</si>
  <si>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</si>
  <si>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</si>
  <si>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</si>
  <si>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</si>
  <si>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</si>
  <si>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</si>
  <si>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</si>
  <si>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</si>
  <si>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</si>
  <si>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</si>
  <si>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</si>
  <si>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</si>
  <si>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</si>
  <si>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</si>
  <si>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</si>
  <si>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</si>
  <si>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</si>
  <si>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</si>
  <si>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</si>
  <si>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</si>
  <si>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</si>
  <si>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</si>
  <si>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</si>
  <si>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</si>
  <si>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</si>
  <si>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</si>
  <si>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</si>
  <si>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</si>
  <si>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</si>
  <si>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</si>
  <si>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</si>
  <si>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</si>
  <si>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</si>
  <si>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</si>
  <si>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</si>
  <si>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</si>
  <si>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</si>
  <si>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</si>
  <si>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</si>
  <si>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</si>
  <si>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</si>
  <si>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</si>
  <si>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</si>
  <si>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</si>
  <si>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</si>
  <si>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</si>
  <si>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</si>
  <si>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</si>
  <si>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</si>
  <si>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</si>
  <si>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</si>
  <si>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</si>
  <si>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</si>
  <si>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</si>
  <si>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</si>
  <si>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</si>
  <si>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</si>
  <si>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</si>
  <si>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</si>
  <si>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</si>
  <si>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</si>
  <si>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</si>
  <si>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</si>
  <si>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</si>
  <si>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</si>
  <si>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</si>
  <si>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</si>
  <si>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</si>
  <si>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</si>
  <si>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</si>
  <si>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</si>
  <si>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</si>
  <si>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</si>
  <si>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</si>
  <si>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</si>
  <si>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</si>
  <si>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</si>
  <si>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</si>
  <si>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</si>
  <si>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</si>
  <si>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</si>
  <si>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</si>
  <si>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</si>
  <si>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</si>
  <si>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</si>
  <si>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</si>
  <si>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</si>
  <si>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</si>
  <si>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</si>
  <si>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</si>
  <si>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</si>
  <si>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</si>
  <si>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</si>
  <si>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</si>
  <si>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</si>
  <si>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</si>
  <si>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</si>
  <si>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</si>
  <si>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</si>
  <si>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</si>
  <si>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</si>
  <si>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</si>
  <si>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</si>
  <si>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</si>
  <si>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</si>
  <si>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</si>
  <si>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</si>
  <si>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</si>
  <si>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</si>
  <si>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</si>
  <si>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</si>
  <si>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</si>
  <si>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</si>
  <si>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</si>
  <si>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</si>
  <si>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</si>
  <si>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</si>
  <si>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</si>
  <si>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</si>
  <si>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</si>
  <si>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</si>
  <si>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</si>
  <si>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</si>
  <si>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</si>
  <si>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</si>
  <si>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</si>
  <si>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</si>
  <si>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</si>
  <si>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</si>
  <si>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</si>
  <si>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</si>
  <si>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</si>
  <si>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</si>
  <si>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</si>
  <si>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</si>
  <si>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</si>
  <si>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</si>
  <si>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</si>
  <si>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</si>
  <si>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</si>
  <si>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</si>
  <si>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</si>
  <si>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</si>
  <si>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</si>
  <si>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</si>
  <si>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</si>
  <si>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</si>
  <si>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</si>
  <si>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</si>
  <si>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</si>
  <si>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</si>
  <si>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</si>
  <si>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</si>
  <si>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</si>
  <si>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</si>
  <si>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</si>
  <si>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</si>
  <si>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</si>
  <si>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</si>
  <si>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</si>
  <si>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</si>
  <si>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</si>
  <si>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</si>
  <si>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</si>
  <si>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</si>
  <si>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</si>
  <si>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</si>
  <si>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</si>
  <si>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</si>
  <si>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</si>
  <si>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</si>
  <si>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</si>
  <si>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</si>
  <si>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</si>
  <si>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</si>
  <si>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</si>
  <si>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</si>
  <si>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</si>
  <si>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</si>
  <si>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</si>
  <si>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</si>
  <si>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</si>
  <si>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</si>
  <si>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</si>
  <si>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</si>
  <si>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</si>
  <si>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</si>
  <si>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</si>
  <si>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</si>
  <si>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</si>
  <si>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</si>
  <si>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</si>
  <si>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</si>
  <si>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</si>
  <si>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</si>
  <si>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</si>
  <si>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</si>
  <si>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</si>
  <si>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</si>
  <si>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</si>
  <si>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</si>
  <si>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</si>
  <si>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</si>
  <si>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</si>
  <si>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</si>
  <si>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</si>
  <si>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</si>
  <si>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</si>
  <si>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</si>
  <si>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</si>
  <si>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</si>
  <si>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</si>
  <si>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</si>
  <si>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</si>
  <si>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</si>
  <si>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</si>
  <si>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</si>
  <si>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</si>
  <si>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</si>
  <si>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</si>
  <si>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</si>
  <si>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</si>
  <si>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</si>
  <si>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</si>
  <si>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</si>
  <si>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</si>
  <si>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</si>
  <si>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</si>
  <si>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</si>
  <si>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</si>
  <si>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</si>
  <si>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</si>
  <si>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</si>
  <si>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</si>
  <si>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</si>
  <si>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</si>
  <si>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</si>
  <si>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</si>
  <si>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</si>
  <si>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</si>
  <si>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</si>
  <si>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</si>
  <si>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</si>
  <si>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</si>
  <si>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</si>
  <si>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</si>
  <si>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</si>
  <si>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</si>
  <si>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</si>
  <si>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</si>
  <si>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</si>
  <si>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</si>
  <si>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</si>
  <si>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</si>
  <si>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</si>
  <si>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</si>
  <si>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</si>
  <si>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</si>
  <si>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</si>
  <si>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</si>
  <si>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</si>
  <si>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</si>
  <si>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</si>
  <si>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</si>
  <si>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</si>
  <si>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</si>
  <si>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</si>
  <si>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</si>
  <si>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</si>
  <si>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</si>
  <si>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</si>
  <si>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</si>
  <si>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</si>
  <si>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</si>
  <si>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</si>
  <si>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</si>
  <si>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</si>
  <si>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</si>
  <si>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</si>
  <si>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</si>
  <si>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</si>
  <si>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</si>
  <si>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</si>
  <si>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</si>
  <si>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</si>
  <si>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</si>
  <si>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</si>
  <si>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</si>
  <si>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</si>
  <si>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</si>
  <si>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</si>
  <si>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</si>
  <si>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</si>
  <si>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</si>
  <si>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</si>
  <si>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</si>
  <si>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</si>
  <si>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</si>
  <si>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</si>
  <si>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</si>
  <si>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</si>
  <si>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</si>
  <si>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</si>
  <si>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</si>
  <si>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</si>
  <si>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</si>
  <si>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</si>
  <si>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</si>
  <si>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</si>
  <si>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</si>
  <si>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</si>
  <si>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</si>
  <si>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</si>
  <si>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</si>
  <si>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</si>
  <si>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</si>
  <si>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</si>
  <si>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</si>
  <si>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</si>
  <si>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</si>
  <si>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</si>
  <si>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</si>
  <si>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</si>
  <si>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</si>
  <si>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</si>
  <si>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</si>
  <si>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</si>
  <si>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</si>
  <si>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</si>
  <si>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</si>
  <si>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</si>
  <si>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</si>
  <si>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</si>
  <si>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</si>
  <si>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</si>
  <si>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</si>
  <si>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</si>
  <si>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</si>
  <si>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</si>
  <si>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</si>
  <si>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</si>
  <si>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</si>
  <si>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</si>
  <si>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</si>
  <si>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</si>
  <si>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</si>
  <si>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</si>
  <si>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</si>
  <si>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</si>
  <si>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</si>
  <si>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</si>
  <si>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</si>
  <si>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</si>
  <si>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</si>
  <si>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</si>
  <si>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</si>
  <si>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</si>
  <si>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</si>
  <si>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</si>
  <si>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</si>
  <si>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</si>
  <si>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</si>
  <si>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</si>
  <si>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</si>
  <si>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</si>
  <si>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</si>
  <si>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</si>
  <si>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</si>
  <si>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</si>
  <si>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</si>
  <si>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</si>
  <si>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</si>
  <si>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</si>
  <si>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</si>
  <si>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</si>
  <si>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</si>
  <si>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</si>
  <si>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</si>
  <si>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</si>
  <si>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</si>
  <si>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</si>
  <si>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</si>
  <si>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</si>
  <si>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</si>
  <si>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</si>
  <si>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</si>
  <si>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</si>
  <si>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</si>
  <si>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</si>
  <si>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</si>
  <si>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</si>
  <si>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</si>
  <si>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</si>
  <si>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</si>
  <si>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</si>
  <si>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</si>
  <si>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</si>
  <si>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</si>
  <si>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</si>
  <si>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</si>
  <si>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</si>
  <si>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</si>
  <si>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</si>
  <si>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</si>
  <si>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</si>
  <si>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</si>
  <si>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</si>
  <si>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</si>
  <si>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</si>
  <si>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</si>
  <si>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</si>
  <si>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</si>
  <si>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</si>
  <si>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</si>
  <si>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</si>
  <si>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</si>
  <si>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</si>
  <si>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</si>
  <si>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</si>
  <si>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</si>
  <si>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</si>
  <si>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</si>
  <si>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</si>
  <si>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</si>
  <si>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</si>
  <si>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</si>
  <si>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</si>
  <si>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</si>
  <si>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</si>
  <si>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</si>
  <si>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</si>
  <si>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</si>
  <si>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</si>
  <si>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</si>
  <si>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</si>
  <si>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</si>
  <si>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</si>
  <si>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</si>
  <si>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</si>
  <si>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</si>
  <si>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</si>
  <si>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</si>
  <si>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</si>
  <si>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</si>
  <si>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</si>
  <si>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</si>
  <si>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</si>
  <si>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</si>
  <si>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</si>
  <si>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</si>
  <si>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</si>
  <si>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</si>
  <si>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</si>
  <si>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</si>
  <si>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</si>
  <si>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</si>
  <si>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</si>
  <si>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</si>
  <si>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</si>
  <si>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</si>
  <si>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</si>
  <si>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</si>
  <si>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</si>
  <si>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</si>
  <si>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</si>
  <si>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</si>
  <si>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</si>
  <si>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</si>
  <si>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</si>
  <si>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</si>
  <si>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</si>
  <si>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</si>
  <si>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</si>
  <si>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</si>
  <si>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</si>
  <si>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</si>
  <si>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</si>
  <si>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</si>
  <si>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</si>
  <si>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</si>
  <si>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</si>
  <si>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</si>
  <si>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</si>
  <si>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</si>
  <si>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</si>
  <si>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</si>
  <si>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</si>
  <si>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</si>
  <si>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</si>
  <si>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</si>
  <si>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</si>
  <si>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</si>
  <si>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</si>
  <si>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</si>
  <si>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</si>
  <si>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</si>
  <si>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</si>
  <si>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</si>
  <si>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</si>
  <si>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</si>
  <si>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</si>
  <si>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</si>
  <si>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</si>
  <si>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</si>
  <si>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</si>
  <si>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</si>
  <si>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</si>
  <si>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</si>
  <si>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</si>
  <si>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</si>
  <si>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</si>
  <si>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</si>
  <si>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</si>
  <si>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</si>
  <si>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</si>
  <si>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</si>
  <si>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</si>
  <si>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</si>
  <si>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</si>
  <si>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</si>
  <si>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</si>
  <si>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</si>
  <si>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</si>
  <si>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</si>
  <si>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</si>
  <si>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</si>
  <si>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</si>
  <si>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</si>
  <si>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</si>
  <si>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</si>
  <si>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</si>
  <si>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</si>
  <si>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</si>
  <si>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</si>
  <si>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</si>
  <si>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</si>
  <si>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</si>
  <si>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</si>
  <si>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</si>
  <si>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</si>
  <si>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</si>
  <si>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</si>
  <si>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</si>
  <si>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</si>
  <si>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</si>
  <si>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</si>
  <si>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</si>
  <si>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</si>
  <si>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</si>
  <si>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</si>
  <si>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</si>
  <si>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</si>
  <si>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</si>
  <si>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</si>
  <si>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</si>
  <si>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</si>
  <si>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</si>
  <si>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</si>
  <si>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</si>
  <si>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</si>
  <si>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</si>
  <si>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</si>
  <si>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</si>
  <si>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</si>
  <si>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</si>
  <si>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</si>
  <si>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</si>
  <si>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</si>
  <si>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</si>
  <si>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</si>
  <si>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</si>
  <si>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</si>
  <si>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</si>
  <si>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</si>
  <si>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</si>
  <si>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</si>
  <si>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</si>
  <si>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</si>
  <si>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</si>
  <si>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</si>
  <si>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</si>
  <si>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</si>
  <si>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</si>
  <si>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</si>
  <si>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</si>
  <si>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</si>
  <si>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</si>
  <si>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</si>
  <si>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</si>
  <si>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</si>
  <si>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</si>
  <si>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</si>
  <si>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</si>
  <si>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</si>
  <si>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</si>
  <si>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</si>
  <si>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</si>
  <si>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</si>
  <si>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</si>
  <si>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</si>
  <si>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</si>
  <si>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</si>
  <si>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</si>
  <si>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</si>
  <si>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</si>
  <si>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</si>
  <si>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</si>
  <si>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</si>
  <si>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</si>
  <si>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</si>
  <si>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</si>
  <si>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</si>
  <si>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</si>
  <si>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</si>
  <si>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</si>
  <si>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</si>
  <si>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</si>
  <si>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</si>
  <si>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</si>
  <si>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</si>
  <si>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</si>
  <si>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</si>
  <si>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</si>
  <si>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</si>
  <si>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</si>
  <si>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</si>
  <si>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</si>
  <si>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</si>
  <si>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</si>
  <si>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</si>
  <si>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</si>
  <si>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</si>
  <si>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</si>
  <si>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</si>
  <si>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</si>
  <si>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</si>
  <si>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</si>
  <si>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</si>
  <si>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</si>
  <si>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</si>
  <si>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</si>
  <si>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</si>
  <si>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</si>
  <si>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</si>
  <si>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</si>
  <si>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</si>
  <si>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</si>
  <si>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</si>
  <si>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</si>
  <si>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</si>
  <si>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</si>
  <si>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</si>
  <si>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</si>
  <si>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</si>
  <si>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</si>
  <si>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</si>
  <si>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</si>
  <si>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</si>
  <si>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</si>
  <si>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</si>
  <si>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</si>
  <si>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</si>
  <si>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</si>
  <si>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</si>
  <si>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</si>
  <si>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</si>
  <si>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</si>
  <si>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</si>
  <si>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</si>
  <si>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</si>
  <si>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</si>
  <si>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</si>
  <si>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</si>
  <si>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</si>
  <si>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</si>
  <si>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</si>
  <si>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</si>
  <si>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</si>
  <si>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</si>
  <si>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</si>
  <si>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</si>
  <si>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</si>
  <si>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</si>
  <si>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</si>
  <si>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</si>
  <si>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</si>
  <si>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</si>
  <si>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</si>
  <si>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</si>
  <si>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</si>
  <si>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</si>
  <si>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</si>
  <si>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</si>
  <si>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</si>
  <si>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</si>
  <si>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</si>
  <si>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</si>
  <si>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</si>
  <si>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</si>
  <si>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</si>
  <si>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</si>
  <si>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</si>
  <si>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</si>
  <si>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</si>
  <si>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</si>
  <si>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</si>
  <si>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</si>
  <si>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</si>
  <si>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</si>
  <si>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</si>
  <si>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</si>
  <si>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</si>
  <si>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</si>
  <si>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</si>
  <si>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</si>
  <si>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</si>
  <si>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</si>
  <si>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</si>
  <si>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</si>
  <si>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</si>
  <si>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</si>
  <si>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</si>
  <si>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</si>
  <si>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</si>
  <si>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</si>
  <si>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</si>
  <si>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</si>
  <si>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</si>
  <si>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</si>
  <si>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</si>
  <si>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</si>
  <si>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</si>
  <si>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</si>
  <si>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</si>
  <si>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</si>
  <si>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</si>
  <si>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</si>
  <si>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</si>
  <si>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</si>
  <si>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</si>
  <si>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</si>
  <si>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</si>
  <si>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</si>
  <si>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</si>
  <si>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</si>
  <si>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</si>
  <si>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</si>
  <si>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</si>
  <si>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</si>
  <si>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</si>
  <si>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</si>
  <si>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</si>
  <si>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</si>
  <si>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</si>
  <si>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</si>
  <si>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</si>
  <si>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</si>
  <si>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</si>
  <si>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</si>
  <si>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</si>
  <si>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</si>
  <si>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</si>
  <si>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</si>
  <si>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</si>
  <si>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</si>
  <si>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</si>
  <si>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</si>
  <si>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</si>
  <si>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</si>
  <si>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</si>
  <si>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</si>
  <si>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</si>
  <si>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</si>
  <si>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</si>
  <si>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</si>
  <si>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</si>
  <si>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</si>
  <si>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</si>
  <si>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</si>
  <si>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</si>
  <si>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</si>
  <si>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</si>
  <si>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</si>
  <si>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</si>
  <si>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</si>
  <si>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</si>
  <si>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</si>
  <si>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</si>
  <si>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</si>
  <si>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</si>
  <si>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</si>
  <si>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</si>
  <si>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</si>
  <si>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</si>
  <si>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</si>
  <si>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</si>
  <si>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</si>
  <si>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</si>
  <si>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</si>
  <si>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</si>
  <si>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</si>
  <si>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</si>
  <si>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</si>
  <si>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</si>
  <si>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</si>
  <si>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</si>
  <si>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</si>
  <si>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</si>
  <si>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</si>
  <si>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</si>
  <si>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</si>
  <si>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</si>
  <si>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</si>
  <si>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</si>
  <si>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</si>
  <si>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</si>
  <si>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</si>
  <si>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</si>
  <si>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</si>
  <si>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</si>
  <si>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</si>
  <si>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</si>
  <si>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</si>
  <si>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</si>
  <si>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</si>
  <si>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</si>
  <si>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</si>
  <si>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</si>
  <si>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</si>
  <si>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</si>
  <si>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</si>
  <si>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</si>
  <si>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</si>
  <si>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</si>
  <si>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</si>
  <si>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</si>
  <si>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</si>
  <si>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</si>
  <si>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</si>
  <si>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</si>
  <si>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</si>
  <si>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</si>
  <si>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</si>
  <si>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</si>
  <si>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</si>
  <si>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</si>
  <si>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</si>
  <si>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</si>
  <si>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</si>
  <si>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</si>
  <si>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</si>
  <si>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</si>
  <si>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</si>
  <si>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</si>
  <si>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</si>
  <si>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</si>
  <si>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</si>
  <si>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</si>
  <si>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</si>
  <si>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</si>
  <si>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</si>
  <si>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</si>
  <si>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</si>
  <si>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</si>
  <si>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</si>
  <si>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</si>
  <si>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</si>
  <si>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</si>
  <si>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</si>
  <si>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</si>
  <si>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</si>
  <si>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</si>
  <si>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</si>
  <si>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</si>
  <si>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</si>
  <si>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</si>
  <si>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</si>
  <si>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</si>
  <si>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</si>
  <si>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</si>
  <si>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</si>
  <si>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</si>
  <si>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</si>
  <si>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</si>
  <si>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</si>
  <si>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</si>
  <si>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</si>
  <si>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</si>
  <si>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</si>
  <si>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</si>
  <si>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</si>
  <si>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</si>
  <si>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</si>
  <si>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</si>
  <si>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</si>
  <si>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</si>
  <si>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</si>
  <si>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</si>
  <si>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</si>
  <si>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</si>
  <si>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</si>
  <si>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</si>
  <si>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</si>
  <si>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</si>
  <si>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</si>
  <si>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</si>
  <si>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</si>
  <si>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</si>
  <si>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</si>
  <si>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</si>
  <si>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</si>
  <si>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</si>
  <si>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</si>
  <si>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</si>
  <si>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</si>
  <si>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</si>
  <si>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</si>
  <si>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</si>
  <si>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</si>
  <si>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</si>
  <si>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</si>
  <si>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</si>
  <si>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</si>
  <si>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</si>
  <si>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</si>
  <si>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</si>
  <si>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</si>
  <si>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</si>
  <si>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</si>
  <si>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</si>
  <si>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</si>
  <si>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</si>
  <si>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</si>
  <si>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</si>
  <si>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</si>
  <si>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</si>
  <si>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</si>
  <si>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</si>
  <si>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</si>
  <si>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</si>
  <si>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</si>
  <si>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</si>
  <si>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</si>
  <si>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</si>
  <si>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</si>
  <si>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</si>
  <si>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</si>
  <si>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</si>
  <si>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</si>
  <si>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</si>
  <si>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</si>
  <si>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</si>
  <si>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</si>
  <si>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</si>
  <si>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</si>
  <si>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</si>
  <si>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</si>
  <si>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</si>
  <si>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</si>
  <si>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</si>
  <si>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</si>
  <si>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</si>
  <si>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</si>
  <si>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</si>
  <si>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</si>
  <si>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</si>
  <si>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</si>
  <si>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</si>
  <si>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</si>
  <si>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</si>
  <si>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</si>
  <si>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</si>
  <si>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</si>
  <si>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</si>
  <si>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</si>
  <si>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</si>
  <si>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</si>
  <si>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</si>
  <si>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</si>
  <si>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</si>
  <si>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</si>
  <si>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</si>
  <si>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</si>
  <si>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</si>
  <si>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</si>
  <si>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</si>
  <si>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</si>
  <si>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</si>
  <si>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</si>
  <si>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</si>
  <si>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</si>
  <si>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</si>
  <si>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</si>
  <si>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</si>
  <si>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</si>
  <si>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</si>
  <si>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</si>
  <si>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</si>
  <si>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</si>
  <si>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</si>
  <si>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</si>
  <si>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</si>
  <si>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</si>
  <si>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</si>
  <si>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</si>
  <si>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</si>
  <si>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</si>
  <si>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</si>
  <si>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</si>
  <si>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</si>
  <si>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</si>
  <si>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</si>
  <si>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</si>
  <si>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</si>
  <si>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</si>
  <si>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</si>
  <si>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</si>
  <si>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</si>
  <si>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</si>
  <si>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</si>
  <si>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</si>
  <si>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</si>
  <si>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</si>
  <si>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</si>
  <si>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</si>
  <si>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</si>
  <si>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</si>
  <si>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</si>
  <si>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</si>
  <si>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</si>
  <si>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</si>
  <si>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</si>
  <si>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</si>
  <si>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</si>
  <si>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</si>
  <si>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</si>
  <si>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</si>
  <si>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</si>
  <si>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</si>
  <si>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</si>
  <si>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</si>
  <si>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</si>
  <si>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</si>
  <si>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</si>
  <si>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</si>
  <si>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</si>
  <si>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</si>
  <si>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</si>
  <si>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</si>
  <si>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</si>
  <si>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</si>
  <si>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</si>
  <si>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</si>
  <si>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</si>
  <si>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</si>
  <si>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</si>
  <si>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</si>
  <si>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</si>
  <si>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</si>
  <si>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</si>
  <si>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</si>
  <si>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</si>
  <si>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</si>
  <si>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</si>
  <si>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</si>
  <si>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</si>
  <si>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</si>
  <si>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</si>
  <si>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</si>
  <si>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</si>
  <si>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</si>
  <si>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</si>
  <si>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</si>
  <si>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</si>
  <si>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</si>
  <si>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</si>
  <si>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</si>
  <si>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</si>
  <si>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</si>
  <si>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</si>
  <si>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</si>
  <si>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</si>
  <si>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</si>
  <si>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</si>
  <si>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</si>
  <si>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</si>
  <si>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</si>
  <si>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</si>
  <si>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</si>
  <si>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</si>
  <si>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</si>
  <si>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</si>
  <si>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</si>
  <si>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</si>
  <si>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</si>
  <si>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</si>
  <si>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</si>
  <si>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</si>
  <si>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</si>
  <si>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</si>
  <si>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</si>
  <si>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</si>
  <si>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</si>
  <si>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</si>
  <si>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</si>
  <si>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</si>
  <si>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</si>
  <si>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</si>
  <si>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</si>
  <si>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</si>
  <si>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</si>
  <si>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</si>
  <si>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</si>
  <si>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</si>
  <si>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</si>
  <si>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</si>
  <si>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</si>
  <si>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</si>
  <si>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</si>
  <si>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</si>
  <si>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</si>
  <si>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</si>
  <si>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</si>
  <si>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</si>
  <si>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</si>
  <si>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</si>
  <si>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</si>
  <si>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</si>
  <si>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</si>
  <si>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</si>
  <si>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</si>
  <si>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</si>
  <si>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</si>
  <si>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</si>
  <si>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</si>
  <si>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</si>
  <si>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</si>
  <si>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</si>
  <si>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</si>
  <si>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</si>
  <si>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</si>
  <si>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</si>
  <si>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</si>
  <si>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</si>
  <si>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</si>
  <si>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</si>
  <si>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</si>
  <si>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</si>
  <si>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</si>
  <si>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</si>
  <si>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</si>
  <si>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</si>
  <si>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</si>
  <si>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</si>
  <si>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</si>
  <si>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</si>
  <si>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</si>
  <si>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</si>
  <si>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</si>
  <si>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</si>
  <si>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</si>
  <si>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</si>
  <si>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</si>
  <si>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</si>
  <si>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</si>
  <si>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</si>
  <si>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</si>
  <si>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</si>
  <si>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</si>
  <si>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</si>
  <si>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</si>
  <si>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</si>
  <si>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</si>
  <si>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</si>
  <si>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</si>
  <si>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</si>
  <si>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</si>
  <si>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</si>
  <si>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</si>
  <si>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</si>
  <si>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</si>
  <si>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</si>
  <si>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</si>
  <si>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</si>
  <si>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</si>
  <si>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</si>
  <si>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</si>
  <si>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</si>
  <si>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</si>
  <si>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</si>
  <si>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</si>
  <si>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</si>
  <si>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</si>
  <si>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</si>
  <si>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</si>
  <si>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</si>
  <si>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</si>
  <si>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</si>
  <si>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</si>
  <si>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</si>
  <si>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</si>
  <si>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</si>
  <si>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</si>
  <si>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</si>
  <si>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</si>
  <si>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</si>
  <si>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</si>
  <si>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</si>
  <si>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</si>
  <si>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</si>
  <si>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</si>
  <si>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</si>
  <si>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</si>
  <si>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</si>
  <si>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</si>
  <si>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</si>
  <si>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</si>
  <si>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</si>
  <si>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</si>
  <si>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</si>
  <si>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</si>
  <si>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</si>
  <si>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</si>
  <si>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</si>
  <si>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</si>
  <si>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</si>
  <si>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</si>
  <si>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</si>
  <si>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</si>
  <si>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</si>
  <si>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</si>
  <si>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</si>
  <si>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</si>
  <si>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</si>
  <si>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</si>
  <si>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</si>
  <si>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</si>
  <si>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</si>
  <si>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</si>
  <si>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</si>
  <si>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</si>
  <si>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</si>
  <si>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</si>
  <si>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</si>
  <si>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</si>
  <si>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</si>
  <si>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</si>
  <si>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</si>
  <si>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</si>
  <si>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</si>
  <si>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</si>
  <si>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</si>
  <si>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</si>
  <si>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</si>
  <si>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</si>
  <si>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</si>
  <si>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</si>
  <si>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</si>
  <si>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</si>
  <si>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</si>
  <si>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</si>
  <si>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</si>
  <si>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</si>
  <si>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</si>
  <si>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</si>
  <si>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</si>
  <si>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</si>
  <si>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</si>
  <si>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</si>
  <si>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</si>
  <si>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</si>
  <si>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</si>
  <si>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</si>
  <si>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</si>
  <si>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</si>
  <si>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</si>
  <si>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</si>
  <si>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</si>
  <si>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</si>
  <si>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</si>
  <si>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</si>
  <si>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</si>
  <si>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</si>
  <si>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</si>
  <si>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</si>
  <si>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</si>
  <si>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</si>
  <si>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</si>
  <si>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</si>
  <si>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</si>
  <si>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</si>
  <si>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</si>
  <si>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</si>
  <si>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</si>
  <si>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</si>
  <si>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</si>
  <si>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</si>
  <si>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</si>
  <si>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</si>
  <si>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</si>
  <si>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</si>
  <si>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</si>
  <si>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</si>
  <si>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</si>
  <si>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</si>
  <si>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</si>
  <si>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</si>
  <si>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</si>
  <si>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</si>
  <si>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</si>
  <si>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</si>
  <si>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</si>
  <si>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</si>
  <si>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</si>
  <si>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</si>
  <si>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</si>
  <si>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</si>
  <si>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</si>
  <si>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</si>
  <si>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</si>
  <si>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</si>
  <si>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</si>
  <si>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</si>
  <si>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</si>
  <si>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</si>
  <si>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</si>
  <si>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</si>
  <si>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</si>
  <si>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</si>
  <si>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</si>
  <si>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</si>
  <si>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</si>
  <si>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</si>
  <si>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</si>
  <si>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</si>
  <si>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</si>
  <si>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</si>
  <si>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</si>
  <si>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</si>
  <si>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</si>
  <si>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</si>
  <si>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</si>
  <si>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</si>
  <si>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</si>
  <si>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</si>
  <si>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</si>
  <si>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</si>
  <si>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</si>
  <si>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</si>
  <si>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</si>
  <si>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</si>
  <si>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</si>
  <si>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</si>
  <si>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</si>
  <si>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</si>
  <si>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</si>
  <si>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</si>
  <si>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</si>
  <si>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</si>
  <si>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</si>
  <si>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</si>
  <si>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</si>
  <si>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</si>
  <si>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</si>
  <si>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</si>
  <si>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</si>
  <si>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</si>
  <si>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</si>
  <si>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</si>
  <si>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</si>
  <si>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</si>
  <si>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</si>
  <si>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</si>
  <si>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</si>
  <si>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</si>
  <si>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</si>
  <si>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</si>
  <si>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</si>
  <si>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</si>
  <si>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</si>
  <si>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</si>
  <si>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</si>
  <si>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</si>
  <si>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</si>
  <si>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</si>
  <si>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</si>
  <si>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</si>
  <si>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</si>
  <si>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</si>
  <si>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</si>
  <si>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</si>
  <si>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</si>
  <si>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</si>
  <si>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</si>
  <si>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</si>
  <si>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</si>
  <si>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</si>
  <si>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</si>
  <si>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</si>
  <si>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</si>
  <si>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</si>
  <si>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</si>
  <si>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</si>
  <si>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</si>
  <si>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</si>
  <si>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</si>
  <si>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</si>
  <si>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</si>
  <si>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</si>
  <si>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</si>
  <si>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</si>
  <si>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</si>
  <si>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</si>
  <si>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</si>
  <si>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</si>
  <si>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</si>
  <si>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</si>
  <si>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</si>
  <si>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</si>
  <si>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</si>
  <si>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</si>
  <si>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</si>
  <si>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</si>
  <si>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</si>
  <si>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</si>
  <si>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</si>
  <si>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</si>
  <si>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</si>
  <si>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</si>
  <si>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</si>
  <si>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</si>
  <si>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</si>
  <si>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</si>
  <si>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</si>
  <si>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</si>
  <si>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</si>
  <si>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</si>
  <si>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</si>
  <si>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</si>
  <si>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</si>
  <si>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</si>
  <si>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</si>
  <si>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</si>
  <si>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</si>
  <si>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</si>
  <si>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</si>
  <si>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</si>
  <si>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</si>
  <si>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</si>
  <si>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</si>
  <si>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</si>
  <si>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</si>
  <si>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</si>
  <si>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</si>
  <si>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</si>
  <si>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</si>
  <si>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</si>
  <si>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</si>
  <si>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</si>
  <si>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</si>
  <si>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</si>
  <si>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</si>
  <si>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</si>
  <si>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</si>
  <si>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</si>
  <si>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</si>
  <si>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</si>
  <si>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</si>
  <si>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</si>
  <si>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</si>
  <si>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</si>
  <si>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</si>
  <si>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</si>
  <si>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</si>
  <si>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</si>
  <si>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</si>
  <si>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</si>
  <si>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</si>
  <si>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</si>
  <si>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</si>
  <si>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</si>
  <si>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</si>
  <si>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</si>
  <si>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</si>
  <si>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</si>
  <si>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</si>
  <si>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</si>
  <si>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</si>
  <si>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</si>
  <si>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</si>
  <si>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</si>
  <si>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</si>
  <si>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</si>
  <si>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</si>
  <si>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</si>
  <si>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</si>
  <si>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</si>
  <si>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</si>
  <si>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</si>
  <si>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</si>
  <si>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</si>
  <si>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</si>
  <si>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</si>
  <si>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</si>
  <si>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</si>
  <si>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</si>
  <si>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</si>
  <si>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</si>
  <si>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</si>
  <si>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</si>
  <si>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</si>
  <si>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</si>
  <si>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</si>
  <si>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</si>
  <si>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</si>
  <si>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</si>
  <si>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</si>
  <si>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</si>
  <si>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</si>
  <si>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</si>
  <si>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</si>
  <si>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</si>
  <si>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</si>
  <si>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</si>
  <si>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</si>
  <si>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</si>
  <si>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</si>
  <si>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</si>
  <si>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</si>
  <si>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</si>
  <si>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</si>
  <si>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</si>
  <si>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</si>
  <si>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</si>
  <si>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</si>
  <si>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</si>
  <si>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</si>
  <si>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</si>
  <si>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</si>
  <si>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</si>
  <si>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</si>
  <si>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</si>
  <si>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</si>
  <si>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</si>
  <si>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</si>
  <si>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</si>
  <si>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</si>
  <si>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</si>
  <si>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</si>
  <si>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</si>
  <si>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</si>
  <si>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</si>
  <si>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</si>
  <si>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</si>
  <si>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</si>
  <si>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</si>
  <si>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</si>
  <si>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</si>
  <si>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</si>
  <si>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</si>
  <si>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</si>
  <si>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</si>
  <si>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</si>
  <si>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</si>
  <si>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</si>
  <si>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</si>
  <si>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</si>
  <si>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</si>
  <si>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</si>
  <si>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</si>
  <si>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</si>
  <si>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</si>
  <si>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</si>
  <si>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</si>
  <si>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</si>
  <si>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</si>
  <si>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</si>
  <si>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</si>
  <si>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</si>
  <si>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</si>
  <si>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</si>
  <si>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</si>
  <si>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</si>
  <si>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</si>
  <si>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</si>
  <si>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</si>
  <si>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</si>
  <si>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</si>
  <si>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</si>
  <si>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</si>
  <si>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</si>
  <si>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</si>
  <si>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</si>
  <si>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</si>
  <si>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</si>
  <si>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</si>
  <si>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</si>
  <si>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</si>
  <si>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</si>
  <si>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</si>
  <si>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</si>
  <si>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</si>
  <si>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</si>
  <si>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</si>
  <si>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</si>
  <si>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</si>
  <si>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</si>
  <si>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</si>
  <si>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</si>
  <si>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</si>
  <si>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</si>
  <si>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</si>
  <si>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</si>
  <si>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</si>
  <si>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</si>
  <si>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</si>
  <si>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</si>
  <si>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</si>
  <si>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</si>
  <si>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</si>
  <si>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</si>
  <si>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</si>
  <si>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</si>
  <si>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</si>
  <si>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</si>
  <si>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</si>
  <si>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</si>
  <si>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</si>
  <si>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</si>
  <si>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</si>
  <si>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</si>
  <si>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</si>
  <si>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</si>
  <si>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</si>
  <si>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</si>
  <si>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</si>
  <si>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</si>
  <si>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</si>
  <si>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</si>
  <si>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</si>
  <si>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</si>
  <si>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</si>
  <si>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</si>
  <si>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</si>
  <si>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</si>
  <si>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</si>
  <si>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</si>
  <si>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</si>
  <si>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</si>
  <si>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</si>
  <si>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</si>
  <si>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</si>
  <si>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</si>
  <si>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</si>
  <si>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</si>
  <si>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</si>
  <si>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</si>
  <si>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</si>
  <si>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</si>
  <si>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</si>
  <si>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</si>
  <si>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</si>
  <si>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</si>
  <si>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</si>
  <si>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</si>
  <si>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</si>
  <si>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</si>
  <si>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</si>
  <si>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</si>
  <si>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</si>
  <si>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</si>
  <si>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</si>
  <si>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</si>
  <si>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</si>
  <si>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</si>
  <si>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</si>
  <si>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</si>
  <si>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</si>
  <si>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</si>
  <si>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</si>
  <si>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</si>
  <si>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</si>
  <si>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</si>
  <si>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</si>
  <si>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</si>
  <si>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</si>
  <si>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</si>
  <si>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</si>
  <si>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</si>
  <si>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</si>
  <si>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</si>
  <si>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</si>
  <si>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</si>
  <si>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</si>
  <si>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</si>
  <si>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</si>
  <si>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</si>
  <si>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</si>
  <si>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</si>
  <si>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</si>
  <si>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</si>
  <si>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</si>
  <si>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</si>
  <si>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</si>
  <si>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</si>
  <si>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</si>
  <si>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</si>
  <si>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</si>
  <si>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</si>
  <si>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</si>
  <si>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</si>
  <si>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</si>
  <si>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</si>
  <si>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</si>
  <si>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</si>
  <si>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</si>
  <si>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</si>
  <si>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</si>
  <si>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</si>
  <si>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</si>
  <si>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</si>
  <si>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</si>
  <si>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</si>
  <si>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</si>
  <si>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</si>
  <si>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</si>
  <si>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</si>
  <si>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</si>
  <si>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</si>
  <si>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</si>
  <si>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</si>
  <si>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</si>
  <si>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</si>
  <si>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</si>
  <si>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</si>
  <si>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</si>
  <si>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</si>
  <si>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</si>
  <si>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</si>
  <si>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</si>
  <si>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</si>
  <si>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</si>
  <si>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</si>
  <si>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</si>
  <si>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</si>
  <si>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</si>
  <si>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</si>
  <si>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</si>
  <si>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</si>
  <si>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</si>
  <si>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</si>
  <si>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</si>
  <si>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</si>
  <si>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</si>
  <si>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</si>
  <si>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</si>
  <si>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</si>
  <si>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</si>
  <si>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</si>
  <si>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</si>
  <si>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</si>
  <si>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</si>
  <si>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</si>
  <si>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</si>
  <si>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</si>
  <si>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</si>
  <si>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</si>
  <si>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</si>
  <si>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</si>
  <si>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</si>
  <si>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</si>
  <si>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</si>
  <si>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</si>
  <si>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</si>
  <si>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</si>
  <si>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</si>
  <si>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</si>
  <si>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</si>
  <si>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</si>
  <si>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</si>
  <si>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</si>
  <si>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</si>
  <si>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</si>
  <si>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</si>
  <si>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</si>
  <si>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</si>
  <si>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</si>
  <si>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</si>
  <si>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</si>
  <si>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</si>
  <si>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</si>
  <si>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</si>
  <si>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</si>
  <si>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</si>
  <si>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</si>
  <si>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</si>
  <si>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</si>
  <si>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</si>
  <si>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</si>
  <si>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</si>
  <si>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</si>
  <si>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</si>
  <si>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</si>
  <si>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</si>
  <si>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</si>
  <si>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</si>
  <si>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</si>
  <si>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</si>
  <si>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</si>
  <si>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</si>
  <si>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</si>
  <si>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</si>
  <si>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</si>
  <si>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</si>
  <si>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</si>
  <si>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</si>
  <si>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</si>
  <si>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</si>
  <si>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</si>
  <si>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</si>
  <si>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</si>
  <si>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</si>
  <si>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</si>
  <si>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</si>
  <si>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</si>
  <si>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</si>
  <si>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</si>
  <si>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</si>
  <si>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</si>
  <si>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</si>
  <si>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</si>
  <si>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</si>
  <si>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</si>
  <si>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</si>
  <si>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</si>
  <si>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</si>
  <si>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</si>
  <si>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</si>
  <si>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</si>
  <si>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</si>
  <si>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</si>
  <si>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</si>
  <si>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</si>
  <si>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</si>
  <si>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</si>
  <si>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</si>
  <si>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</si>
  <si>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</si>
  <si>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</si>
  <si>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</si>
  <si>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</si>
  <si>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</si>
  <si>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</si>
  <si>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</si>
  <si>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</si>
  <si>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</si>
  <si>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</si>
  <si>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</si>
  <si>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</si>
  <si>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</si>
  <si>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</si>
  <si>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</si>
  <si>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</si>
  <si>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</si>
  <si>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</si>
  <si>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</si>
  <si>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</si>
  <si>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</si>
  <si>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</si>
  <si>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</si>
  <si>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</si>
  <si>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</si>
  <si>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</si>
  <si>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</si>
  <si>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</si>
  <si>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</si>
  <si>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</si>
  <si>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</si>
  <si>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</si>
  <si>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</si>
  <si>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</si>
  <si>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</si>
  <si>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</si>
  <si>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</si>
  <si>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</si>
  <si>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</si>
  <si>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</si>
  <si>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</si>
  <si>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</si>
  <si>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</si>
  <si>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</si>
  <si>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</si>
  <si>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</si>
  <si>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</si>
  <si>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</si>
  <si>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</si>
  <si>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</si>
  <si>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</si>
  <si>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</si>
  <si>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</si>
  <si>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</si>
  <si>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</si>
  <si>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</si>
  <si>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</si>
  <si>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</si>
  <si>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</si>
  <si>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</si>
  <si>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</si>
  <si>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</si>
  <si>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</si>
  <si>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</si>
  <si>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</si>
  <si>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</si>
  <si>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</si>
  <si>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</si>
  <si>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</si>
  <si>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</si>
  <si>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</si>
  <si>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</si>
  <si>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</si>
  <si>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</si>
  <si>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</si>
  <si>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</si>
  <si>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</si>
  <si>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</si>
  <si>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</si>
  <si>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</si>
  <si>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</si>
  <si>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</si>
  <si>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</si>
  <si>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</si>
  <si>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</si>
  <si>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</si>
  <si>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</si>
  <si>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</si>
  <si>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</si>
  <si>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</si>
  <si>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</si>
  <si>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</si>
  <si>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</si>
  <si>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</si>
  <si>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</si>
  <si>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</si>
  <si>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</si>
  <si>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</si>
  <si>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</si>
  <si>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</si>
  <si>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</si>
  <si>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</si>
  <si>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</si>
  <si>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</si>
  <si>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</si>
  <si>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</si>
  <si>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</si>
  <si>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</si>
  <si>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</si>
  <si>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</si>
  <si>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</si>
  <si>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</si>
  <si>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</si>
  <si>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</si>
  <si>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</si>
  <si>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</si>
  <si>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</si>
  <si>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</si>
  <si>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</si>
  <si>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</si>
  <si>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</si>
  <si>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</si>
  <si>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</si>
  <si>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</si>
  <si>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</si>
  <si>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</si>
  <si>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</si>
  <si>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</si>
  <si>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</si>
  <si>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</si>
  <si>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</si>
  <si>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</si>
  <si>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</si>
  <si>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</si>
  <si>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</si>
  <si>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</si>
  <si>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</si>
  <si>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</si>
  <si>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</si>
  <si>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</si>
  <si>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</si>
  <si>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</si>
  <si>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</si>
  <si>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</si>
  <si>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</si>
  <si>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</si>
  <si>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</si>
  <si>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</si>
  <si>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</si>
  <si>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</si>
  <si>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</si>
  <si>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</si>
  <si>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</si>
  <si>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</si>
  <si>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</si>
  <si>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</si>
  <si>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</si>
  <si>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</si>
  <si>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</si>
  <si>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</si>
  <si>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</si>
  <si>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</si>
  <si>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</si>
  <si>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</si>
  <si>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</si>
  <si>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</si>
  <si>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</si>
  <si>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</si>
  <si>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</si>
  <si>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</si>
  <si>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</si>
  <si>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</si>
  <si>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</si>
  <si>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</si>
  <si>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</si>
  <si>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</si>
  <si>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</si>
  <si>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</si>
  <si>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</si>
  <si>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</si>
  <si>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</si>
  <si>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</si>
  <si>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</si>
  <si>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</si>
  <si>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</si>
  <si>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</si>
  <si>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</si>
  <si>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</si>
  <si>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</si>
  <si>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</si>
  <si>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</si>
  <si>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</si>
  <si>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</si>
  <si>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</si>
  <si>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</si>
  <si>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</si>
  <si>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</si>
  <si>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</si>
  <si>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</si>
  <si>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</si>
  <si>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</si>
  <si>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</si>
  <si>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</si>
  <si>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</si>
  <si>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</si>
  <si>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</si>
  <si>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</si>
  <si>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</si>
  <si>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</si>
  <si>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</si>
  <si>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</si>
  <si>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</si>
  <si>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</si>
  <si>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</si>
  <si>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</si>
  <si>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</si>
  <si>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</si>
  <si>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</si>
  <si>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</si>
  <si>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</si>
  <si>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</si>
  <si>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</si>
  <si>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</si>
  <si>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</si>
  <si>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</si>
  <si>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</si>
  <si>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</si>
  <si>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</si>
  <si>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</si>
  <si>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</si>
  <si>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</si>
  <si>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</si>
  <si>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</si>
  <si>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</si>
  <si>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</si>
  <si>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</si>
  <si>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</si>
  <si>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</si>
  <si>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</si>
  <si>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</si>
  <si>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</si>
  <si>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</si>
  <si>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</si>
  <si>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</si>
  <si>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</si>
  <si>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</si>
  <si>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</si>
  <si>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</si>
  <si>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</si>
  <si>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</si>
  <si>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</si>
  <si>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</si>
  <si>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</si>
  <si>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</si>
  <si>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</si>
  <si>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</si>
  <si>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</si>
  <si>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</si>
  <si>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</si>
  <si>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</si>
  <si>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</si>
  <si>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</si>
  <si>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</si>
  <si>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</si>
  <si>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</si>
  <si>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</si>
  <si>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</si>
  <si>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</si>
  <si>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</si>
  <si>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</si>
  <si>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</si>
  <si>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</si>
  <si>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</si>
  <si>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</si>
  <si>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</si>
  <si>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</si>
  <si>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</si>
  <si>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</si>
  <si>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</si>
  <si>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</si>
  <si>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</si>
  <si>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</si>
  <si>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</si>
  <si>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</si>
  <si>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</si>
  <si>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</si>
  <si>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</si>
  <si>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</si>
  <si>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</si>
  <si>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</si>
  <si>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</si>
  <si>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</si>
  <si>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</si>
  <si>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</si>
  <si>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</si>
  <si>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</si>
  <si>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</si>
  <si>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</si>
  <si>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</si>
  <si>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</si>
  <si>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</si>
  <si>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</si>
  <si>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</si>
  <si>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</si>
  <si>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</si>
  <si>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</si>
  <si>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</si>
  <si>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</si>
  <si>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</si>
  <si>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</si>
  <si>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</si>
  <si>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</si>
  <si>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</si>
  <si>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</si>
  <si>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</si>
  <si>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</si>
  <si>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</si>
  <si>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</si>
  <si>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</si>
  <si>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</si>
  <si>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</si>
  <si>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</si>
  <si>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</si>
  <si>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</si>
  <si>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</si>
  <si>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</si>
  <si>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</si>
  <si>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</si>
  <si>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</si>
  <si>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</si>
  <si>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</si>
  <si>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</si>
  <si>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</si>
  <si>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</si>
  <si>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</si>
  <si>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</si>
  <si>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</si>
  <si>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</si>
  <si>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</si>
  <si>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</si>
  <si>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</si>
  <si>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</si>
  <si>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</si>
  <si>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</si>
  <si>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</si>
  <si>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</si>
  <si>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</si>
  <si>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</si>
  <si>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</si>
  <si>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</si>
  <si>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</si>
  <si>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</si>
  <si>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</si>
  <si>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</si>
  <si>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</si>
  <si>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</si>
  <si>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</si>
  <si>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</si>
  <si>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</si>
  <si>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</si>
  <si>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</si>
  <si>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</si>
  <si>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</si>
  <si>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</si>
  <si>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</si>
  <si>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</si>
  <si>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</si>
  <si>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</si>
  <si>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</si>
  <si>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</si>
  <si>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</si>
  <si>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</si>
  <si>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</si>
  <si>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</si>
  <si>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</si>
  <si>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</si>
  <si>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</si>
  <si>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</si>
  <si>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</si>
  <si>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</si>
  <si>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</si>
  <si>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</si>
  <si>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</si>
  <si>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</si>
  <si>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</si>
  <si>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</si>
  <si>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</si>
  <si>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</si>
  <si>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</si>
  <si>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</si>
  <si>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</si>
  <si>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</si>
  <si>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</si>
  <si>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</si>
  <si>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</si>
  <si>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</si>
  <si>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</si>
  <si>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</si>
  <si>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</si>
  <si>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</si>
  <si>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</si>
  <si>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</si>
  <si>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</si>
  <si>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</si>
  <si>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</si>
  <si>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</si>
  <si>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</si>
  <si>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</si>
  <si>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</si>
  <si>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</si>
  <si>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</si>
  <si>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</si>
  <si>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</si>
  <si>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</si>
  <si>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</si>
  <si>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</si>
  <si>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</si>
  <si>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</si>
  <si>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</si>
  <si>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</si>
  <si>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</si>
  <si>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</si>
  <si>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</si>
  <si>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</si>
  <si>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</si>
  <si>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</si>
  <si>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</si>
  <si>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</si>
  <si>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</si>
  <si>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</si>
  <si>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</si>
  <si>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</si>
  <si>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</si>
  <si>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</si>
  <si>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</si>
  <si>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</si>
  <si>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</si>
  <si>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</si>
  <si>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</si>
  <si>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</si>
  <si>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</si>
  <si>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</si>
  <si>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</si>
  <si>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</si>
  <si>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</si>
  <si>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</si>
  <si>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</si>
  <si>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</si>
  <si>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</si>
  <si>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</si>
  <si>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</si>
  <si>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</si>
  <si>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</si>
  <si>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</si>
  <si>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</si>
  <si>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</si>
  <si>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</si>
  <si>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</si>
  <si>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</si>
  <si>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</si>
  <si>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</si>
  <si>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</si>
  <si>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</si>
  <si>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</si>
  <si>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</si>
  <si>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</si>
  <si>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</si>
  <si>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</si>
  <si>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</si>
  <si>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</si>
  <si>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</si>
  <si>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</si>
  <si>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</si>
  <si>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</si>
  <si>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</si>
  <si>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</si>
  <si>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</si>
  <si>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</si>
  <si>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</si>
  <si>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</si>
  <si>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</si>
  <si>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</si>
  <si>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</si>
  <si>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</si>
  <si>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</si>
  <si>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</si>
  <si>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</si>
  <si>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</si>
  <si>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</si>
  <si>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</si>
  <si>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</si>
  <si>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</si>
  <si>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</si>
  <si>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</si>
  <si>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</si>
  <si>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</si>
  <si>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</si>
  <si>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</si>
  <si>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</si>
  <si>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</si>
  <si>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</si>
  <si>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</si>
  <si>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</si>
  <si>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</si>
  <si>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</si>
  <si>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</si>
  <si>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</si>
  <si>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</si>
  <si>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</si>
  <si>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</si>
  <si>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</si>
  <si>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</si>
  <si>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</si>
  <si>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</si>
  <si>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</si>
  <si>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</si>
  <si>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</si>
  <si>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</si>
  <si>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</si>
  <si>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</si>
  <si>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</si>
  <si>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</si>
  <si>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</si>
  <si>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</si>
  <si>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</si>
  <si>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</si>
  <si>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</si>
  <si>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</si>
  <si>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</si>
  <si>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</si>
  <si>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</si>
  <si>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</si>
  <si>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</si>
  <si>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</si>
  <si>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</si>
  <si>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</si>
  <si>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</si>
  <si>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</si>
  <si>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</si>
  <si>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</si>
  <si>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</si>
  <si>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</si>
  <si>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</si>
  <si>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</si>
  <si>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</si>
  <si>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</si>
  <si>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</si>
  <si>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</si>
  <si>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</si>
  <si>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</si>
  <si>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</si>
  <si>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</si>
  <si>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</si>
  <si>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</si>
  <si>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</si>
  <si>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</si>
  <si>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</si>
  <si>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</si>
  <si>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</si>
  <si>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</si>
  <si>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</si>
  <si>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</si>
  <si>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</si>
  <si>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</si>
  <si>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</si>
  <si>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</si>
  <si>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</si>
  <si>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</si>
  <si>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</si>
  <si>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</si>
  <si>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</si>
  <si>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</si>
  <si>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</si>
  <si>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</si>
  <si>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</si>
  <si>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</si>
  <si>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</si>
  <si>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</si>
  <si>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</si>
  <si>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</si>
  <si>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</si>
  <si>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</si>
  <si>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</si>
  <si>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</si>
  <si>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</si>
  <si>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</si>
  <si>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</si>
  <si>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</si>
  <si>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</si>
  <si>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</si>
  <si>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</si>
  <si>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</si>
  <si>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</si>
  <si>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</si>
  <si>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</si>
  <si>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</si>
  <si>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</si>
  <si>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</si>
  <si>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</si>
  <si>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</si>
  <si>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</si>
  <si>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</si>
  <si>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</si>
  <si>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</si>
  <si>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</si>
  <si>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</si>
  <si>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</si>
  <si>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</si>
  <si>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</si>
  <si>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</si>
  <si>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</si>
  <si>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</si>
  <si>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</si>
  <si>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</si>
  <si>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</si>
  <si>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</si>
  <si>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</si>
  <si>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</si>
  <si>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</si>
  <si>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</si>
  <si>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</si>
  <si>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</si>
  <si>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</si>
  <si>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</si>
  <si>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</si>
  <si>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</si>
  <si>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</si>
  <si>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</si>
  <si>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</si>
  <si>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</si>
  <si>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</si>
  <si>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</si>
  <si>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</si>
  <si>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</si>
  <si>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</si>
  <si>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</si>
  <si>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</si>
  <si>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</si>
  <si>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</si>
  <si>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</si>
  <si>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</si>
  <si>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</si>
  <si>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</si>
  <si>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</si>
  <si>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</si>
  <si>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</si>
  <si>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</si>
  <si>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</si>
  <si>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</si>
  <si>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</si>
  <si>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</si>
  <si>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</si>
  <si>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</si>
  <si>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</si>
  <si>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</si>
  <si>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</si>
  <si>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</si>
  <si>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</si>
  <si>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</si>
  <si>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</si>
  <si>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</si>
  <si>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</si>
  <si>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</si>
  <si>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</si>
  <si>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</si>
  <si>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</si>
  <si>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</si>
  <si>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</si>
  <si>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</si>
  <si>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</si>
  <si>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</si>
  <si>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</si>
  <si>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</si>
  <si>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</si>
  <si>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</si>
  <si>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</si>
  <si>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</si>
  <si>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</si>
  <si>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</si>
  <si>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</si>
  <si>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</si>
  <si>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</si>
  <si>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</si>
  <si>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</si>
  <si>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</si>
  <si>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</si>
  <si>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</si>
  <si>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</si>
  <si>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</si>
  <si>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</si>
  <si>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</si>
  <si>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</si>
  <si>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</si>
  <si>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</si>
  <si>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</si>
  <si>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</si>
  <si>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</si>
  <si>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</si>
  <si>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</si>
  <si>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</si>
  <si>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</si>
  <si>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</si>
  <si>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</si>
  <si>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</si>
  <si>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</si>
  <si>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</si>
  <si>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</si>
  <si>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</si>
  <si>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</si>
  <si>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</si>
  <si>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</si>
  <si>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</si>
  <si>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</si>
  <si>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</si>
  <si>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</si>
  <si>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</si>
  <si>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</si>
  <si>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</si>
  <si>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</si>
  <si>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</si>
  <si>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</si>
  <si>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</si>
  <si>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</si>
  <si>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</si>
  <si>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</si>
  <si>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</si>
  <si>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</si>
  <si>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</si>
  <si>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</si>
  <si>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</si>
  <si>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</si>
  <si>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</si>
  <si>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</si>
  <si>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</si>
  <si>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</si>
  <si>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</si>
  <si>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</si>
  <si>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</si>
  <si>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</si>
  <si>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</si>
  <si>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</si>
  <si>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</si>
  <si>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</si>
  <si>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</si>
  <si>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</si>
  <si>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</si>
  <si>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</si>
  <si>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</si>
  <si>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</si>
  <si>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</si>
  <si>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</si>
  <si>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</si>
  <si>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</si>
  <si>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</si>
  <si>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</si>
  <si>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</si>
  <si>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</si>
  <si>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</si>
  <si>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</si>
  <si>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</si>
  <si>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</si>
  <si>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</si>
  <si>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</si>
  <si>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</si>
  <si>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</si>
  <si>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</si>
  <si>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</si>
  <si>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</si>
  <si>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</si>
  <si>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</si>
  <si>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</si>
  <si>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</si>
  <si>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</si>
  <si>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</si>
  <si>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</si>
  <si>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</si>
  <si>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</si>
  <si>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</si>
  <si>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</si>
  <si>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</si>
  <si>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</si>
  <si>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</si>
  <si>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</si>
  <si>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</si>
  <si>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</si>
  <si>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</si>
  <si>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</si>
  <si>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</si>
  <si>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</si>
  <si>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</si>
  <si>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</si>
  <si>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</si>
  <si>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</si>
  <si>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</si>
  <si>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</si>
  <si>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</si>
  <si>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</si>
  <si>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</si>
  <si>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</si>
  <si>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</si>
  <si>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</si>
  <si>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</si>
  <si>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</si>
  <si>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</si>
  <si>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</si>
  <si>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</si>
  <si>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</si>
  <si>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</si>
  <si>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</si>
  <si>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</si>
  <si>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</si>
  <si>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</si>
  <si>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</si>
  <si>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</si>
  <si>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</si>
  <si>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</si>
  <si>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</si>
  <si>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</si>
  <si>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</si>
  <si>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</si>
  <si>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</si>
  <si>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</si>
  <si>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</si>
  <si>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</si>
  <si>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</si>
  <si>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</si>
  <si>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</si>
  <si>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</si>
  <si>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</si>
  <si>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</si>
  <si>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</si>
  <si>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</si>
  <si>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</si>
  <si>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</si>
  <si>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</si>
  <si>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</si>
  <si>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</si>
  <si>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</si>
  <si>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</si>
  <si>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</si>
  <si>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</si>
  <si>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</si>
  <si>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</si>
  <si>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</si>
  <si>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</si>
  <si>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</si>
  <si>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</si>
  <si>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</si>
  <si>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</si>
  <si>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</si>
  <si>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</si>
  <si>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</si>
  <si>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</si>
  <si>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</si>
  <si>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</si>
  <si>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</si>
  <si>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</si>
  <si>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</si>
  <si>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</si>
  <si>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</si>
  <si>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</si>
  <si>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</si>
  <si>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</si>
  <si>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</si>
  <si>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</si>
  <si>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</si>
  <si>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</si>
  <si>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</si>
  <si>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</si>
  <si>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</si>
  <si>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</si>
  <si>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</si>
  <si>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</si>
  <si>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</si>
  <si>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Motion Industries, Inc.</t>
  </si>
  <si>
    <t>Motion Industries, Inc,. Motion Canada, BRASS, AST Bearing, General Tools and Supply, Voorhies, Numatic Engineering, and all subsidiaries and divisions.</t>
  </si>
  <si>
    <t>00-796-0446</t>
  </si>
  <si>
    <t>DUNS Number</t>
  </si>
  <si>
    <t>1605 Alton Road, Birmingham, AL, 35210</t>
  </si>
  <si>
    <t>Sustainability Team</t>
  </si>
  <si>
    <t>MOT-Sustainability-SN@motion.com</t>
  </si>
  <si>
    <t>800-526-9328</t>
  </si>
  <si>
    <t>Craig Edwards</t>
  </si>
  <si>
    <t>Director, Quality Management &amp; EHS</t>
  </si>
  <si>
    <t xml:space="preserve">Motion is a distributor of products manufactered by other companies and does not manufacture </t>
  </si>
  <si>
    <t xml:space="preserve">or contract to manufacture products within the meaning of the Dodd-Frnk Fiancial Reform Law of </t>
  </si>
  <si>
    <t xml:space="preserve">2010 or the regulations in the Final Rule implementing that law. Motion industries does not </t>
  </si>
  <si>
    <t>intentionally add DRC conflict metals to the products it distributes. Accordingly, Motion has responded "No" to the items set forth in question 1 of this survey.</t>
  </si>
  <si>
    <t>The Dodd-Frank Financial reform Law of 2010 and its implementing regulations do not require companies to have a DRC conflict Free Sourcing Policy</t>
  </si>
  <si>
    <t>Although, Motion is not required to file a form SD, we conduct due diligence measures on our relevant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</si>
</sst>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OT-Sustainability-SN@motio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OT-Sustainability-SN@motio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60" sqref="B60"/>
    </sheetView>
  </sheetViews>
  <sheetFormatPr defaultColWidth="9" defaultRowHeight="12.6"/>
  <cols>
    <col min="1" max="1" width="0.81640625" customWidth="1"/>
    <col min="2" max="2" width="8" customWidth="1"/>
    <col min="3" max="3" width="8.6328125" customWidth="1"/>
    <col min="4" max="4" width="13" style="164" customWidth="1"/>
    <col min="5" max="5" width="42.36328125" customWidth="1"/>
    <col min="6" max="6" width="53.36328125" customWidth="1"/>
    <col min="7" max="7" width="0.81640625" customWidth="1"/>
  </cols>
  <sheetData>
    <row r="1" spans="1:7" ht="13.2"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
      <c r="A4" s="303"/>
      <c r="B4" s="27" t="s">
        <v>809</v>
      </c>
      <c r="C4" s="5"/>
      <c r="D4" s="161"/>
      <c r="E4" s="2"/>
      <c r="F4" s="5"/>
      <c r="G4" s="24"/>
    </row>
    <row r="5" spans="1:7" ht="13.2">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4.200000000000003">
      <c r="A13" s="303"/>
      <c r="B13" s="275">
        <v>1</v>
      </c>
      <c r="C13" s="276" t="s">
        <v>1046</v>
      </c>
      <c r="D13" s="277" t="s">
        <v>836</v>
      </c>
      <c r="E13" s="278" t="s">
        <v>813</v>
      </c>
      <c r="F13" s="278"/>
      <c r="G13" s="24"/>
    </row>
    <row r="14" spans="1:7" ht="45.6">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55" customHeight="1">
      <c r="A29" s="303"/>
      <c r="B29" s="316"/>
      <c r="C29" s="310"/>
      <c r="D29" s="313"/>
      <c r="E29" s="301"/>
      <c r="F29" s="280" t="s">
        <v>57</v>
      </c>
      <c r="G29" s="24"/>
    </row>
    <row r="30" spans="1:7" ht="62.5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5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36.80000000000001">
      <c r="A36" s="303"/>
      <c r="B36" s="317"/>
      <c r="C36" s="311"/>
      <c r="D36" s="314"/>
      <c r="E36" s="302"/>
      <c r="F36" s="282" t="s">
        <v>65</v>
      </c>
      <c r="G36" s="24"/>
    </row>
    <row r="37" spans="1:7" ht="136.80000000000001">
      <c r="A37" s="303"/>
      <c r="B37" s="281">
        <v>3.01</v>
      </c>
      <c r="C37" s="283" t="s">
        <v>66</v>
      </c>
      <c r="D37" s="277" t="s">
        <v>2155</v>
      </c>
      <c r="E37" s="284" t="s">
        <v>1282</v>
      </c>
      <c r="F37" s="285" t="s">
        <v>1384</v>
      </c>
      <c r="G37" s="24"/>
    </row>
    <row r="38" spans="1:7" ht="125.4">
      <c r="A38" s="303"/>
      <c r="B38" s="281">
        <v>3.02</v>
      </c>
      <c r="C38" s="283" t="s">
        <v>1314</v>
      </c>
      <c r="D38" s="277" t="s">
        <v>2156</v>
      </c>
      <c r="E38" s="284" t="s">
        <v>1329</v>
      </c>
      <c r="F38" s="285" t="s">
        <v>1385</v>
      </c>
      <c r="G38" s="24"/>
    </row>
    <row r="39" spans="1:7" ht="102.6">
      <c r="A39" s="303"/>
      <c r="B39" s="286">
        <v>4</v>
      </c>
      <c r="C39" s="287" t="s">
        <v>1480</v>
      </c>
      <c r="D39" s="277" t="s">
        <v>2157</v>
      </c>
      <c r="E39" s="276" t="s">
        <v>2104</v>
      </c>
      <c r="F39" s="276" t="s">
        <v>1481</v>
      </c>
      <c r="G39" s="24"/>
    </row>
    <row r="40" spans="1:7" ht="57">
      <c r="A40" s="303"/>
      <c r="B40" s="281">
        <v>4.01</v>
      </c>
      <c r="C40" s="287" t="s">
        <v>1480</v>
      </c>
      <c r="D40" s="277" t="s">
        <v>2159</v>
      </c>
      <c r="E40" s="276" t="s">
        <v>2116</v>
      </c>
      <c r="F40" s="276" t="s">
        <v>2120</v>
      </c>
      <c r="G40" s="24"/>
    </row>
    <row r="41" spans="1:7" ht="57">
      <c r="A41" s="303"/>
      <c r="B41" s="281" t="s">
        <v>2146</v>
      </c>
      <c r="C41" s="287" t="s">
        <v>1480</v>
      </c>
      <c r="D41" s="277" t="s">
        <v>2158</v>
      </c>
      <c r="E41" s="276" t="s">
        <v>2149</v>
      </c>
      <c r="F41" s="276" t="s">
        <v>2147</v>
      </c>
      <c r="G41" s="24"/>
    </row>
    <row r="42" spans="1:7" ht="57">
      <c r="A42" s="303"/>
      <c r="B42" s="281" t="s">
        <v>2173</v>
      </c>
      <c r="C42" s="287" t="s">
        <v>1480</v>
      </c>
      <c r="D42" s="277" t="s">
        <v>2178</v>
      </c>
      <c r="E42" s="276" t="s">
        <v>2148</v>
      </c>
      <c r="F42" s="276" t="s">
        <v>2174</v>
      </c>
      <c r="G42" s="24"/>
    </row>
    <row r="43" spans="1:7" ht="171">
      <c r="A43" s="303"/>
      <c r="B43" s="288">
        <v>4.0999999999999996</v>
      </c>
      <c r="C43" s="287" t="s">
        <v>2177</v>
      </c>
      <c r="D43" s="289">
        <v>42867</v>
      </c>
      <c r="E43" s="290" t="s">
        <v>2180</v>
      </c>
      <c r="F43" s="276" t="s">
        <v>2179</v>
      </c>
      <c r="G43" s="24"/>
    </row>
    <row r="44" spans="1:7" ht="102.6">
      <c r="A44" s="303"/>
      <c r="B44" s="288">
        <v>4.2</v>
      </c>
      <c r="C44" s="287" t="s">
        <v>2177</v>
      </c>
      <c r="D44" s="289">
        <v>42704</v>
      </c>
      <c r="E44" s="290" t="s">
        <v>2369</v>
      </c>
      <c r="F44" s="276" t="s">
        <v>2344</v>
      </c>
      <c r="G44" s="24"/>
    </row>
    <row r="45" spans="1:7" ht="205.2">
      <c r="A45" s="303"/>
      <c r="B45" s="291">
        <v>5</v>
      </c>
      <c r="C45" s="287" t="s">
        <v>2177</v>
      </c>
      <c r="D45" s="289">
        <v>42867</v>
      </c>
      <c r="E45" s="290" t="s">
        <v>12256</v>
      </c>
      <c r="F45" s="276" t="s">
        <v>11978</v>
      </c>
      <c r="G45" s="24"/>
    </row>
    <row r="46" spans="1:7" ht="57">
      <c r="A46" s="303"/>
      <c r="B46" s="288">
        <v>5.01</v>
      </c>
      <c r="C46" s="287" t="s">
        <v>2177</v>
      </c>
      <c r="D46" s="289">
        <v>42907</v>
      </c>
      <c r="E46" s="290" t="s">
        <v>14886</v>
      </c>
      <c r="F46" s="276" t="s">
        <v>11978</v>
      </c>
      <c r="G46" s="24"/>
    </row>
    <row r="47" spans="1:7" ht="91.2">
      <c r="A47" s="303"/>
      <c r="B47" s="288">
        <v>5.0999999999999996</v>
      </c>
      <c r="C47" s="287" t="s">
        <v>2177</v>
      </c>
      <c r="D47" s="289">
        <v>43070</v>
      </c>
      <c r="E47" s="290" t="s">
        <v>12456</v>
      </c>
      <c r="F47" s="276" t="s">
        <v>12457</v>
      </c>
      <c r="G47" s="24"/>
    </row>
    <row r="48" spans="1:7" ht="79.8">
      <c r="A48" s="303"/>
      <c r="B48" s="288">
        <v>5.1100000000000003</v>
      </c>
      <c r="C48" s="287" t="s">
        <v>12684</v>
      </c>
      <c r="D48" s="289">
        <v>43217</v>
      </c>
      <c r="E48" s="290" t="s">
        <v>12786</v>
      </c>
      <c r="F48" s="276" t="s">
        <v>12711</v>
      </c>
      <c r="G48" s="24"/>
    </row>
    <row r="49" spans="1:7" ht="79.8">
      <c r="A49" s="303"/>
      <c r="B49" s="288">
        <v>5.12</v>
      </c>
      <c r="C49" s="287" t="s">
        <v>12684</v>
      </c>
      <c r="D49" s="289">
        <v>43581</v>
      </c>
      <c r="E49" s="290" t="s">
        <v>12786</v>
      </c>
      <c r="F49" s="276" t="s">
        <v>13315</v>
      </c>
      <c r="G49" s="24"/>
    </row>
    <row r="50" spans="1:7" ht="114">
      <c r="A50" s="303"/>
      <c r="B50" s="291">
        <v>6</v>
      </c>
      <c r="C50" s="287" t="s">
        <v>12684</v>
      </c>
      <c r="D50" s="289">
        <v>43964</v>
      </c>
      <c r="E50" s="290" t="s">
        <v>13527</v>
      </c>
      <c r="F50" s="276" t="s">
        <v>13318</v>
      </c>
      <c r="G50" s="24"/>
    </row>
    <row r="51" spans="1:7" ht="57">
      <c r="A51" s="303"/>
      <c r="B51" s="288">
        <v>6.01</v>
      </c>
      <c r="C51" s="287" t="s">
        <v>12684</v>
      </c>
      <c r="D51" s="289">
        <v>43970</v>
      </c>
      <c r="E51" s="290" t="s">
        <v>14887</v>
      </c>
      <c r="F51" s="290" t="s">
        <v>13318</v>
      </c>
      <c r="G51" s="24"/>
    </row>
    <row r="52" spans="1:7" ht="57">
      <c r="A52" s="303"/>
      <c r="B52" s="288">
        <v>6.1</v>
      </c>
      <c r="C52" s="287" t="s">
        <v>12684</v>
      </c>
      <c r="D52" s="289">
        <v>44314</v>
      </c>
      <c r="E52" s="290" t="s">
        <v>14880</v>
      </c>
      <c r="F52" s="290" t="s">
        <v>14487</v>
      </c>
      <c r="G52" s="24"/>
    </row>
    <row r="53" spans="1:7" ht="57">
      <c r="A53" s="303"/>
      <c r="B53" s="288">
        <v>6.2</v>
      </c>
      <c r="C53" s="287" t="s">
        <v>12684</v>
      </c>
      <c r="D53" s="289">
        <v>44678</v>
      </c>
      <c r="E53" s="290" t="s">
        <v>14880</v>
      </c>
      <c r="F53" s="290" t="s">
        <v>14879</v>
      </c>
      <c r="G53" s="24"/>
    </row>
    <row r="54" spans="1:7" ht="57">
      <c r="A54" s="303"/>
      <c r="B54" s="288">
        <v>6.21</v>
      </c>
      <c r="C54" s="287" t="s">
        <v>12684</v>
      </c>
      <c r="D54" s="289">
        <v>44687</v>
      </c>
      <c r="E54" s="290" t="s">
        <v>14888</v>
      </c>
      <c r="F54" s="290" t="s">
        <v>14879</v>
      </c>
      <c r="G54" s="24"/>
    </row>
    <row r="55" spans="1:7" ht="57">
      <c r="A55" s="303"/>
      <c r="B55" s="288">
        <v>6.22</v>
      </c>
      <c r="C55" s="287" t="s">
        <v>12684</v>
      </c>
      <c r="D55" s="292">
        <v>44692</v>
      </c>
      <c r="E55" s="290" t="s">
        <v>14887</v>
      </c>
      <c r="F55" s="290" t="s">
        <v>14879</v>
      </c>
      <c r="G55" s="24"/>
    </row>
    <row r="56" spans="1:7" ht="79.8">
      <c r="A56" s="303"/>
      <c r="B56" s="291">
        <v>6.3</v>
      </c>
      <c r="C56" s="287" t="s">
        <v>12684</v>
      </c>
      <c r="D56" s="292">
        <v>45051</v>
      </c>
      <c r="E56" s="290" t="s">
        <v>15144</v>
      </c>
      <c r="F56" s="290" t="s">
        <v>14925</v>
      </c>
      <c r="G56" s="24"/>
    </row>
    <row r="57" spans="1:7" ht="57">
      <c r="A57" s="303"/>
      <c r="B57" s="288">
        <v>6.31</v>
      </c>
      <c r="C57" s="287" t="s">
        <v>12684</v>
      </c>
      <c r="D57" s="292">
        <v>45072</v>
      </c>
      <c r="E57" s="290" t="s">
        <v>15146</v>
      </c>
      <c r="F57" s="290" t="s">
        <v>14925</v>
      </c>
      <c r="G57" s="24"/>
    </row>
    <row r="58" spans="1:7" ht="57">
      <c r="A58" s="303"/>
      <c r="B58" s="291">
        <v>6.4</v>
      </c>
      <c r="C58" s="287" t="s">
        <v>12684</v>
      </c>
      <c r="D58" s="292">
        <v>45408</v>
      </c>
      <c r="E58" s="290" t="s">
        <v>15148</v>
      </c>
      <c r="F58" s="290" t="s">
        <v>15147</v>
      </c>
      <c r="G58" s="24"/>
    </row>
    <row r="59" spans="1:7" ht="57">
      <c r="A59" s="303"/>
      <c r="B59" s="291">
        <v>6.5</v>
      </c>
      <c r="C59" s="287" t="s">
        <v>12684</v>
      </c>
      <c r="D59" s="292">
        <v>45772</v>
      </c>
      <c r="E59" s="290" t="s">
        <v>15217</v>
      </c>
      <c r="F59" s="290" t="s">
        <v>15259</v>
      </c>
      <c r="G59" s="24"/>
    </row>
    <row r="60" spans="1:7" ht="79.8">
      <c r="A60" s="303"/>
      <c r="B60" s="291">
        <v>6.6</v>
      </c>
      <c r="C60" s="287" t="s">
        <v>12684</v>
      </c>
      <c r="D60" s="292">
        <v>46129</v>
      </c>
      <c r="E60" s="290" t="s">
        <v>15870</v>
      </c>
      <c r="F60" s="293" t="s">
        <v>15352</v>
      </c>
      <c r="G60" s="24"/>
    </row>
    <row r="61" spans="1:7" ht="13.2" thickBot="1">
      <c r="A61" s="304"/>
      <c r="B61" s="305" t="str">
        <f ca="1">OFFSET(L!$C$1,MATCH("General"&amp;"Cpy",L!$A:$A,0)-1,SL,,)</f>
        <v>© 2026 Responsible Minerals Initiative. All rights reserved.</v>
      </c>
      <c r="C61" s="305"/>
      <c r="D61" s="305"/>
      <c r="E61" s="305"/>
      <c r="F61" s="305"/>
      <c r="G61" s="25"/>
    </row>
    <row r="62" spans="1:7" ht="13.2"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1640625" defaultRowHeight="12.6"/>
  <cols>
    <col min="1" max="1" width="20.6328125" style="62" customWidth="1"/>
    <col min="2" max="2" width="57.1796875" style="62" customWidth="1"/>
    <col min="3" max="16384" width="8.816406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80752E5-1822-4800-878B-A2F685FEADA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1640625" defaultRowHeight="12.6"/>
  <cols>
    <col min="1" max="1" width="11.1796875" customWidth="1"/>
    <col min="2" max="2" width="25.7265625" customWidth="1"/>
    <col min="3" max="3" width="11.816406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2B023F8-901A-4732-88B1-FE33E3B8339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2.4">
      <c r="A2" s="102" t="str">
        <f ca="1">OFFSET(L!$C$1,MATCH("Instructions"&amp;ADDRESS(ROW(),COLUMN(),4),L!$A:$A,0)-1,SL,,)</f>
        <v>Introduction</v>
      </c>
      <c r="B2" s="97" t="s">
        <v>1258</v>
      </c>
    </row>
    <row r="3" spans="1:2" ht="162">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6.2">
      <c r="A5" s="103"/>
      <c r="B5" s="97"/>
    </row>
    <row r="6" spans="1:2" ht="32.4">
      <c r="A6" s="102" t="str">
        <f ca="1">OFFSET(L!$C$1,MATCH("Instructions"&amp;ADDRESS(ROW(),COLUMN(),4),L!$A:$A,0)-1,SL,,)</f>
        <v>Instructions for completing Company Information questions (rows 8 - 22).
Provide comments in ENGLISH only</v>
      </c>
      <c r="B6" s="97" t="s">
        <v>1258</v>
      </c>
    </row>
    <row r="7" spans="1:2" ht="16.2">
      <c r="A7" s="220" t="str">
        <f ca="1">OFFSET(L!$C$1,MATCH("Instructions"&amp;ADDRESS(ROW(),COLUMN(),4),L!$A:$A,0)-1,SL,,)</f>
        <v xml:space="preserve">Note:  Entries with (*) are mandatory fields. </v>
      </c>
      <c r="B7" s="97"/>
    </row>
    <row r="8" spans="1:2" ht="32.4">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2.4">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2.4">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8.6">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6.2">
      <c r="A17" s="99" t="str">
        <f ca="1">OFFSET(L!$C$1,MATCH("Instructions"&amp;ADDRESS(ROW(),COLUMN(),4),L!$A:$A,0)-1,SL,,)</f>
        <v>10. Insert the title for the Authorizing person. This field is optional.</v>
      </c>
      <c r="B17" s="97"/>
    </row>
    <row r="18" spans="1:2" ht="32.4">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6.2">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2.4">
      <c r="A21" s="99" t="str">
        <f ca="1">OFFSET(L!$C$1,MATCH("Instructions"&amp;ADDRESS(ROW(),COLUMN(),4),L!$A:$A,0)-1,SL,,)</f>
        <v xml:space="preserve">14. As an example, the user may save the file name as:  companyname-date.xls (date as YYYY-MM-DD).  </v>
      </c>
      <c r="B21" s="97" t="s">
        <v>1258</v>
      </c>
    </row>
    <row r="22" spans="1:2" ht="16.2">
      <c r="A22" s="103"/>
      <c r="B22" s="97"/>
    </row>
    <row r="23" spans="1:2" ht="32.4">
      <c r="A23" s="102" t="str">
        <f ca="1">OFFSET(L!$C$1,MATCH("Instructions"&amp;ADDRESS(ROW(),COLUMN(),4),L!$A:$A,0)-1,SL,,)</f>
        <v>Instructions for completing the eight Due Diligence Questions (rows 24 - 71).
Provide answers in ENGLISH only</v>
      </c>
      <c r="B23" s="97" t="s">
        <v>1258</v>
      </c>
    </row>
    <row r="24" spans="1:2" ht="80.5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2.4">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8"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45.80000000000001">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81">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4.8">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6.2">
      <c r="A36" s="103"/>
      <c r="B36" s="97"/>
    </row>
    <row r="37" spans="1:2" ht="48.6">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45.80000000000001">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4.8">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81">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62">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62">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45.80000000000001">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9.6">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6.2">
      <c r="A47" s="103"/>
      <c r="B47" s="97"/>
    </row>
    <row r="48" spans="1:2" ht="32.4">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4.8">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5" customHeight="1">
      <c r="A52" s="99" t="str">
        <f ca="1">OFFSET(L!$C$1,MATCH("Instructions"&amp;ADDRESS(ROW(),COLUMN(),4),L!$A:$A,0)-1,SL,,)</f>
        <v>2. Metal (*)   -   Use the pull down menu to select the metal for which you are entering smelter information.  This field is mandatory.</v>
      </c>
      <c r="B52" s="97"/>
    </row>
    <row r="53" spans="1:2" ht="79.0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4.8">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81">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4.8">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4.8">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4.8">
      <c r="A58" s="99" t="str">
        <f ca="1">OFFSET(L!$C$1,MATCH("Instructions"&amp;ADDRESS(ROW(),COLUMN(),4),L!$A:$A,0)-1,SL,,)</f>
        <v>8. Smelter Street -  Provide the street name on which the smelter is located. This field is optional.</v>
      </c>
      <c r="B58" s="97" t="s">
        <v>1257</v>
      </c>
    </row>
    <row r="59" spans="1:2" ht="32.4">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2">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4.8">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7.2">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6.2">
      <c r="A67" s="104"/>
      <c r="B67" s="97"/>
    </row>
    <row r="68" spans="1:2" ht="34.5" customHeight="1">
      <c r="A68" s="102" t="str">
        <f ca="1">OFFSET(L!$C$1,MATCH("Instructions"&amp;ADDRESS(ROW(),COLUMN(),4),L!$A:$A,0)-1,SL,,)</f>
        <v>TERMS AND CONDITIONS</v>
      </c>
      <c r="B68" s="97"/>
    </row>
    <row r="69" spans="1:2" ht="16.2">
      <c r="A69" s="104"/>
      <c r="B69" s="97"/>
    </row>
    <row r="70" spans="1:2" ht="80.5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5000000000001"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81">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2.4">
      <c r="A74" s="99"/>
      <c r="B74" s="97" t="s">
        <v>426</v>
      </c>
    </row>
    <row r="75" spans="1:2" ht="16.2">
      <c r="A75" s="99" t="str">
        <f ca="1">OFFSET(L!$C$1,MATCH("General"&amp;"Cpy",L!$A:$A,0)-1,SL,,)</f>
        <v>© 2026 Responsible Minerals Initiative. All rights reserved.</v>
      </c>
      <c r="B75" s="98"/>
    </row>
    <row r="76" spans="1:2" ht="16.2">
      <c r="A76" s="100" t="s">
        <v>993</v>
      </c>
      <c r="B76" s="98"/>
    </row>
    <row r="77" spans="1:2" ht="16.8"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4.0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4.8">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45.80000000000001">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4.8">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8.6">
      <c r="A10" s="71"/>
      <c r="B10" s="60" t="str">
        <f ca="1">OFFSET(L!$C$1,MATCH("Definitions"&amp;ADDRESS(ROW(),COLUMN(),4),L!$A:$A,0)-1,SL,,)</f>
        <v>DRC</v>
      </c>
      <c r="C10" s="60" t="str">
        <f ca="1">OFFSET(L!$C$1,MATCH("Definitions"&amp;ADDRESS(ROW(),COLUMN(),4),L!$A:$A,0)-1,SL,,)</f>
        <v>Democratic Republic of Congo</v>
      </c>
      <c r="D10" s="322"/>
      <c r="E10" s="97" t="s">
        <v>1266</v>
      </c>
    </row>
    <row r="11" spans="1:5" ht="64.8"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4.8">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91.60000000000002">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29.6">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4.8">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94.4">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62">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6.2">
      <c r="A19" s="71"/>
      <c r="B19" s="60" t="str">
        <f ca="1">OFFSET(L!$C$1,MATCH("Definitions"&amp;ADDRESS(ROW(),COLUMN(),4),L!$A:$A,0)-1,SL,,)</f>
        <v>OECD</v>
      </c>
      <c r="C19" s="60" t="str">
        <f ca="1">OFFSET(L!$C$1,MATCH("Definitions"&amp;ADDRESS(ROW(),COLUMN(),4),L!$A:$A,0)-1,SL,,)</f>
        <v>Organisation for Economic Co-operation and Development</v>
      </c>
      <c r="D19" s="322"/>
      <c r="E19" s="97"/>
    </row>
    <row r="20" spans="1:5" ht="32.4">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6.2">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4.8">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81">
      <c r="A26" s="71"/>
      <c r="B26" s="60" t="str">
        <f ca="1">OFFSET(L!$C$1,MATCH("Definitions"&amp;ADDRESS(ROW(),COLUMN(),4),L!$A:$A,0)-1,SL,,)</f>
        <v>SEC</v>
      </c>
      <c r="C26" s="60" t="str">
        <f ca="1">OFFSET(L!$C$1,MATCH("Definitions"&amp;ADDRESS(ROW(),COLUMN(),4),L!$A:$A,0)-1,SL,,)</f>
        <v>U.S. Securities and Exchange Commission (www.sec.gov)</v>
      </c>
      <c r="D26" s="322"/>
      <c r="E26" s="97" t="s">
        <v>1268</v>
      </c>
    </row>
    <row r="27" spans="1:5" ht="64.8">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4.8">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7.2">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3.05000000000001"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6.2">
      <c r="A32" s="71"/>
      <c r="B32" s="321" t="str">
        <f ca="1">OFFSET(L!$C$1,MATCH("General"&amp;"Cpy",L!$A:$A,0)-1,SL,,)</f>
        <v>© 2026 Responsible Minerals Initiative. All rights reserved.</v>
      </c>
      <c r="C32" s="321"/>
      <c r="D32" s="322"/>
      <c r="E32" s="97"/>
    </row>
    <row r="33" spans="1:4" ht="13.2" thickBot="1">
      <c r="A33" s="72"/>
      <c r="B33" s="146"/>
      <c r="C33" s="146"/>
      <c r="D33" s="323"/>
    </row>
    <row r="34" spans="1:4" ht="13.2"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79"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6.2">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6.2">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2.4">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7.049999999999997"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6.2">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6.2">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49999999999997" customHeight="1">
      <c r="A10" s="35"/>
      <c r="B10" s="364" t="str">
        <f ca="1">OFFSET(L!$C$1,MATCH("Declaration"&amp;ADDRESS(ROW(),COLUMN(),4)&amp;LEFT($D$9,1),L!$A:$A,0)-1,SL,,)</f>
        <v>Description of Scope:</v>
      </c>
      <c r="C10" s="119"/>
      <c r="D10" s="355" t="s">
        <v>15880</v>
      </c>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6.2">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6.2">
      <c r="A12" s="35"/>
      <c r="B12" s="37" t="str">
        <f ca="1">OFFSET(L!$C$1,MATCH("Declaration"&amp;ADDRESS(ROW(),COLUMN(),4),L!$A:$A,0)-1,SL,,)</f>
        <v>Company Unique ID:</v>
      </c>
      <c r="C12" s="74"/>
      <c r="D12" s="351" t="s">
        <v>15881</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6.2">
      <c r="A13" s="35"/>
      <c r="B13" s="37" t="str">
        <f ca="1">OFFSET(L!$C$1,MATCH("Declaration"&amp;ADDRESS(ROW(),COLUMN(),4),L!$A:$A,0)-1,SL,,)</f>
        <v>Company Unique ID Authority:</v>
      </c>
      <c r="C13" s="74"/>
      <c r="D13" s="351" t="s">
        <v>15882</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6.2">
      <c r="A14" s="35"/>
      <c r="B14" s="37" t="str">
        <f ca="1">OFFSET(L!$C$1,MATCH("Declaration"&amp;ADDRESS(ROW(),COLUMN(),4),L!$A:$A,0)-1,SL,,)</f>
        <v>Address:</v>
      </c>
      <c r="C14" s="74"/>
      <c r="D14" s="351" t="s">
        <v>15883</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6.2">
      <c r="A15" s="35"/>
      <c r="B15" s="37" t="str">
        <f ca="1">OFFSET(L!$C$1,MATCH("Declaration"&amp;ADDRESS(ROW(),COLUMN(),4),L!$A:$A,0)-1,SL,,)</f>
        <v>Contact Name (*):</v>
      </c>
      <c r="C15" s="74"/>
      <c r="D15" s="351" t="s">
        <v>15884</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6.2">
      <c r="A16" s="35"/>
      <c r="B16" s="37" t="str">
        <f ca="1">OFFSET(L!$C$1,MATCH("Declaration"&amp;ADDRESS(ROW(),COLUMN(),4),L!$A:$A,0)-1,SL,,)</f>
        <v>Email – Contact (*):</v>
      </c>
      <c r="C16" s="74"/>
      <c r="D16" s="366" t="s">
        <v>15885</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6.2">
      <c r="A17" s="35"/>
      <c r="B17" s="37" t="str">
        <f ca="1">OFFSET(L!$C$1,MATCH("Declaration"&amp;ADDRESS(ROW(),COLUMN(),4),L!$A:$A,0)-1,SL,,)</f>
        <v>Phone – Contact (*):</v>
      </c>
      <c r="C17" s="74"/>
      <c r="D17" s="351" t="s">
        <v>15886</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2">
      <c r="A18" s="35"/>
      <c r="B18" s="37" t="str">
        <f ca="1">OFFSET(L!$C$1,MATCH("Declaration"&amp;ADDRESS(ROW(),COLUMN(),4),L!$A:$A,0)-1,SL,,)</f>
        <v>Authorizer (*):</v>
      </c>
      <c r="C18" s="74"/>
      <c r="D18" s="384" t="s">
        <v>15887</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2">
      <c r="A19" s="35"/>
      <c r="B19" s="37" t="str">
        <f ca="1">OFFSET(L!$C$1,MATCH("Declaration"&amp;ADDRESS(ROW(),COLUMN(),4),L!$A:$A,0)-1,SL,,)</f>
        <v>Title - Authorizer:</v>
      </c>
      <c r="C19" s="74"/>
      <c r="D19" s="351" t="s">
        <v>15888</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2">
      <c r="A20" s="35"/>
      <c r="B20" s="37" t="str">
        <f ca="1">OFFSET(L!$C$1,MATCH("Declaration"&amp;ADDRESS(ROW(),COLUMN(),4),L!$A:$A,0)-1,SL,,)</f>
        <v>Email - Authorizer (*):</v>
      </c>
      <c r="C20" s="74"/>
      <c r="D20" s="366" t="s">
        <v>15885</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6.2">
      <c r="A21" s="35"/>
      <c r="B21" s="37" t="str">
        <f ca="1">OFFSET(L!$C$1,MATCH("Declaration"&amp;ADDRESS(ROW(),COLUMN(),4),L!$A:$A,0)-1,SL,,)</f>
        <v>Phone - Authorizer:</v>
      </c>
      <c r="C21" s="130"/>
      <c r="D21" s="324" t="s">
        <v>15886</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7.399999999999999">
      <c r="A22" s="35"/>
      <c r="B22" s="37" t="str">
        <f ca="1">OFFSET(L!$C$1,MATCH("Declaration"&amp;ADDRESS(ROW(),COLUMN(),4),L!$A:$A,0)-1,SL,,)</f>
        <v>Effective Date (*):</v>
      </c>
      <c r="C22" s="75"/>
      <c r="D22" s="329">
        <v>46147</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399999999999999">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6.2">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2">
      <c r="A26" s="38"/>
      <c r="B26" s="37" t="str">
        <f ca="1">OFFSET(L!$C$1,MATCH("Declaration"&amp;ADDRESS(ROW(),COLUMN(),4),L!$A:$A,0)-1,SL,,)&amp;P26</f>
        <v xml:space="preserve">Tantalum  </v>
      </c>
      <c r="C26" s="32"/>
      <c r="D26" s="327" t="s">
        <v>474</v>
      </c>
      <c r="E26" s="328"/>
      <c r="F26" s="11"/>
      <c r="G26" s="335" t="s">
        <v>15889</v>
      </c>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2">
      <c r="A27" s="38"/>
      <c r="B27" s="37" t="str">
        <f ca="1">OFFSET(L!$C$1,MATCH("Declaration"&amp;ADDRESS(ROW(),COLUMN(),4),L!$A:$A,0)-1,SL,,)&amp;P27</f>
        <v xml:space="preserve">Tin  </v>
      </c>
      <c r="C27" s="32"/>
      <c r="D27" s="327" t="s">
        <v>474</v>
      </c>
      <c r="E27" s="328"/>
      <c r="F27" s="11"/>
      <c r="G27" s="335" t="s">
        <v>15890</v>
      </c>
      <c r="H27" s="336"/>
      <c r="I27" s="336"/>
      <c r="J27" s="337"/>
      <c r="K27" s="33"/>
      <c r="L27" s="113"/>
      <c r="P27" s="42" t="str">
        <f>IF(D$27="No","","(*)")</f>
        <v/>
      </c>
      <c r="R27" s="2"/>
      <c r="S27" s="2"/>
      <c r="T27" s="2"/>
      <c r="U27" s="2"/>
      <c r="V27" s="2"/>
      <c r="W27" s="2"/>
      <c r="X27" s="2"/>
      <c r="Y27" s="2"/>
      <c r="Z27" s="2"/>
      <c r="AA27" s="2"/>
      <c r="AB27" s="2"/>
      <c r="AC27" s="2"/>
      <c r="AD27" s="2"/>
      <c r="AE27" s="2"/>
      <c r="AF27" s="2"/>
      <c r="AG27" s="2"/>
      <c r="AH27" s="2"/>
    </row>
    <row r="28" spans="1:34" ht="22.2">
      <c r="A28" s="38"/>
      <c r="B28" s="37" t="str">
        <f ca="1">OFFSET(L!$C$1,MATCH("Declaration"&amp;ADDRESS(ROW(),COLUMN(),4),L!$A:$A,0)-1,SL,,)&amp;P28</f>
        <v xml:space="preserve">Gold  </v>
      </c>
      <c r="C28" s="32"/>
      <c r="D28" s="327" t="s">
        <v>474</v>
      </c>
      <c r="E28" s="328"/>
      <c r="F28" s="11"/>
      <c r="G28" s="335" t="s">
        <v>15891</v>
      </c>
      <c r="H28" s="336"/>
      <c r="I28" s="336"/>
      <c r="J28" s="337"/>
      <c r="K28" s="33"/>
      <c r="L28" s="113"/>
      <c r="P28" s="42" t="str">
        <f>IF(D$28="No","","(*)")</f>
        <v/>
      </c>
      <c r="R28" s="2"/>
      <c r="S28" s="2"/>
      <c r="T28" s="2"/>
      <c r="U28" s="2"/>
      <c r="V28" s="2"/>
      <c r="W28" s="2"/>
      <c r="X28" s="2"/>
      <c r="Y28" s="2"/>
      <c r="Z28" s="2"/>
      <c r="AA28" s="2"/>
      <c r="AB28" s="2"/>
      <c r="AC28" s="2"/>
      <c r="AD28" s="2"/>
      <c r="AE28" s="2"/>
      <c r="AF28" s="2"/>
      <c r="AG28" s="2"/>
      <c r="AH28" s="2"/>
    </row>
    <row r="29" spans="1:34" ht="22.2">
      <c r="A29" s="38"/>
      <c r="B29" s="37" t="str">
        <f ca="1">OFFSET(L!$C$1,MATCH("Declaration"&amp;ADDRESS(ROW(),COLUMN(),4),L!$A:$A,0)-1,SL,,)&amp;P29</f>
        <v xml:space="preserve">Tungsten  </v>
      </c>
      <c r="C29" s="32"/>
      <c r="D29" s="327" t="s">
        <v>474</v>
      </c>
      <c r="E29" s="328"/>
      <c r="F29" s="11"/>
      <c r="G29" s="335" t="s">
        <v>15892</v>
      </c>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7.399999999999999">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v>
      </c>
      <c r="C31" s="9"/>
      <c r="D31" s="332" t="str">
        <f ca="1">D25</f>
        <v>Answer</v>
      </c>
      <c r="E31" s="332"/>
      <c r="F31" s="17"/>
      <c r="G31" s="41" t="str">
        <f ca="1">G25</f>
        <v>Comments</v>
      </c>
      <c r="H31" s="41"/>
      <c r="I31" s="41"/>
      <c r="J31" s="80"/>
      <c r="K31" s="33"/>
      <c r="L31" s="108" t="s">
        <v>1197</v>
      </c>
      <c r="P31" s="42">
        <f>COUNTIF(D$26:D$29,"No")</f>
        <v>4</v>
      </c>
      <c r="Q31" s="42" t="str">
        <f>IF(P31=4,""," (*)")</f>
        <v/>
      </c>
      <c r="R31" s="2"/>
      <c r="S31" s="2"/>
      <c r="T31" s="2"/>
      <c r="U31" s="2"/>
      <c r="V31" s="2"/>
      <c r="W31" s="2"/>
      <c r="X31" s="2"/>
      <c r="Y31" s="2"/>
      <c r="Z31" s="2"/>
      <c r="AA31" s="2"/>
      <c r="AB31" s="2"/>
      <c r="AC31" s="2"/>
      <c r="AD31" s="2"/>
      <c r="AE31" s="2"/>
      <c r="AF31" s="2"/>
      <c r="AG31" s="2"/>
      <c r="AH31" s="2"/>
    </row>
    <row r="32" spans="1:34" ht="22.2">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2">
      <c r="A33" s="38"/>
      <c r="B33" s="37" t="str">
        <f ca="1">B27</f>
        <v xml:space="preserve">Tin  </v>
      </c>
      <c r="C33" s="9"/>
      <c r="D33" s="327"/>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2">
      <c r="A34" s="38"/>
      <c r="B34" s="37" t="str">
        <f ca="1">B28</f>
        <v xml:space="preserve">Gold  </v>
      </c>
      <c r="C34" s="9"/>
      <c r="D34" s="327"/>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2">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7.399999999999999">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v>
      </c>
      <c r="C37" s="9"/>
      <c r="D37" s="332" t="str">
        <f ca="1">D25</f>
        <v>Answer</v>
      </c>
      <c r="E37" s="332"/>
      <c r="F37" s="17"/>
      <c r="G37" s="41" t="str">
        <f ca="1">G25</f>
        <v>Comments</v>
      </c>
      <c r="H37" s="375"/>
      <c r="I37" s="375"/>
      <c r="J37" s="375"/>
      <c r="K37" s="33"/>
      <c r="L37" s="108" t="s">
        <v>1197</v>
      </c>
      <c r="P37" s="42">
        <f>COUNTIF(D$26:D$29,"No")+COUNTIF(D$32:D$35,"No")</f>
        <v>4</v>
      </c>
      <c r="Q37" s="42" t="str">
        <f>IF(P37&gt;3,""," (*)")</f>
        <v/>
      </c>
      <c r="R37" s="2"/>
      <c r="S37" s="2"/>
      <c r="T37" s="2"/>
      <c r="U37" s="2"/>
      <c r="V37" s="2"/>
      <c r="W37" s="2"/>
      <c r="X37" s="2"/>
      <c r="Y37" s="2"/>
      <c r="Z37" s="2"/>
      <c r="AA37" s="2"/>
      <c r="AB37" s="2"/>
      <c r="AC37" s="2"/>
      <c r="AD37" s="2"/>
      <c r="AE37" s="2"/>
      <c r="AF37" s="2"/>
      <c r="AG37" s="2"/>
      <c r="AH37" s="2"/>
    </row>
    <row r="38" spans="1:34" ht="22.2">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2">
      <c r="A39" s="38"/>
      <c r="B39" s="37" t="str">
        <f ca="1">OFFSET(L!$C$1,MATCH("Declaration"&amp;ADDRESS(ROW(),COLUMN(),4),L!$A:$A,0)-1,SL,,)&amp;P39</f>
        <v xml:space="preserve">Tin  </v>
      </c>
      <c r="C39" s="9"/>
      <c r="D39" s="327"/>
      <c r="E39" s="328"/>
      <c r="F39" s="44"/>
      <c r="G39" s="335"/>
      <c r="H39" s="336"/>
      <c r="I39" s="336"/>
      <c r="J39" s="337"/>
      <c r="K39" s="33"/>
      <c r="L39" s="113"/>
      <c r="P39" s="42" t="str">
        <f>IF((OR(D$27="No",D$33="No")),"","(*)")</f>
        <v/>
      </c>
      <c r="Q39" s="2"/>
      <c r="R39" s="2"/>
      <c r="S39" s="2"/>
      <c r="T39" s="2"/>
      <c r="U39" s="2"/>
      <c r="V39" s="2"/>
      <c r="W39" s="2"/>
      <c r="X39" s="2"/>
      <c r="Y39" s="2"/>
      <c r="Z39" s="2"/>
      <c r="AA39" s="2"/>
      <c r="AB39" s="2"/>
      <c r="AC39" s="2"/>
      <c r="AD39" s="2"/>
      <c r="AE39" s="2"/>
      <c r="AF39" s="2"/>
      <c r="AG39" s="2"/>
    </row>
    <row r="40" spans="1:34" ht="22.2">
      <c r="A40" s="38"/>
      <c r="B40" s="37" t="str">
        <f ca="1">OFFSET(L!$C$1,MATCH("Declaration"&amp;ADDRESS(ROW(),COLUMN(),4),L!$A:$A,0)-1,SL,,)&amp;P40</f>
        <v xml:space="preserve">Gold  </v>
      </c>
      <c r="C40" s="9"/>
      <c r="D40" s="327"/>
      <c r="E40" s="328"/>
      <c r="F40" s="44"/>
      <c r="G40" s="335"/>
      <c r="H40" s="336"/>
      <c r="I40" s="336"/>
      <c r="J40" s="337"/>
      <c r="K40" s="33"/>
      <c r="L40" s="113"/>
      <c r="P40" s="42" t="str">
        <f>IF((OR(D$28="No",D$34="No")),"","(*)")</f>
        <v/>
      </c>
      <c r="Q40" s="2"/>
      <c r="R40" s="2"/>
      <c r="S40" s="2"/>
      <c r="T40" s="2"/>
      <c r="U40" s="2"/>
      <c r="V40" s="2"/>
      <c r="W40" s="2"/>
      <c r="X40" s="2"/>
      <c r="Y40" s="2"/>
      <c r="Z40" s="2"/>
      <c r="AA40" s="2"/>
      <c r="AB40" s="2"/>
      <c r="AC40" s="2"/>
      <c r="AD40" s="2"/>
      <c r="AE40" s="2"/>
      <c r="AF40" s="2"/>
      <c r="AG40" s="2"/>
    </row>
    <row r="41" spans="1:34" ht="22.2">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7.399999999999999">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v>
      </c>
      <c r="C43" s="9"/>
      <c r="D43" s="332" t="str">
        <f ca="1">D25</f>
        <v>Answer</v>
      </c>
      <c r="E43" s="332"/>
      <c r="F43" s="17"/>
      <c r="G43" s="41" t="str">
        <f ca="1">G25</f>
        <v>Comments</v>
      </c>
      <c r="H43" s="41"/>
      <c r="I43" s="41"/>
      <c r="J43" s="80"/>
      <c r="K43" s="33"/>
      <c r="L43" s="108"/>
      <c r="P43" s="42">
        <f>COUNTIF(D$26:D$29,"No")+COUNTIF(D$32:D$35,"No")</f>
        <v>4</v>
      </c>
      <c r="Q43" s="42" t="str">
        <f>IF(P43&gt;3,""," (*)")</f>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 xml:space="preserve">Tin  </v>
      </c>
      <c r="C45" s="9"/>
      <c r="D45" s="327"/>
      <c r="E45" s="328"/>
      <c r="F45" s="44"/>
      <c r="G45" s="335"/>
      <c r="H45" s="336"/>
      <c r="I45" s="336"/>
      <c r="J45" s="337"/>
      <c r="K45" s="33"/>
      <c r="L45" s="108"/>
      <c r="P45" s="42" t="str">
        <f>IF((OR(D$27="No",D$33="No")),"","(*)")</f>
        <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35"/>
      <c r="H46" s="336"/>
      <c r="I46" s="336"/>
      <c r="J46" s="337"/>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 xml:space="preserve">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2">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2">
      <c r="A51" s="38"/>
      <c r="B51" s="37" t="str">
        <f ca="1">B39</f>
        <v xml:space="preserve">Tin  </v>
      </c>
      <c r="C51" s="9"/>
      <c r="D51" s="327"/>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2">
      <c r="A52" s="38"/>
      <c r="B52" s="37" t="str">
        <f ca="1">B40</f>
        <v xml:space="preserve">Gold  </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2">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7.399999999999999">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 xml:space="preserve">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2">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2">
      <c r="A57" s="38"/>
      <c r="B57" s="37" t="str">
        <f ca="1">B39</f>
        <v xml:space="preserve">Tin  </v>
      </c>
      <c r="C57" s="32"/>
      <c r="D57" s="369"/>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2">
      <c r="A58" s="38"/>
      <c r="B58" s="37" t="str">
        <f ca="1">B40</f>
        <v xml:space="preserve">Gold  </v>
      </c>
      <c r="C58" s="32"/>
      <c r="D58" s="369"/>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2">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6.2">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 xml:space="preserve">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2">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2">
      <c r="A63" s="38"/>
      <c r="B63" s="37" t="str">
        <f ca="1">B39</f>
        <v xml:space="preserve">Tin  </v>
      </c>
      <c r="C63" s="9"/>
      <c r="D63" s="327"/>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2">
      <c r="A64" s="38"/>
      <c r="B64" s="37" t="str">
        <f ca="1">B40</f>
        <v xml:space="preserve">Gold  </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2">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6.2">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 xml:space="preserve">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2">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2">
      <c r="A69" s="38"/>
      <c r="B69" s="37" t="str">
        <f ca="1">B39</f>
        <v xml:space="preserve">Tin  </v>
      </c>
      <c r="C69" s="32"/>
      <c r="D69" s="327"/>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2">
      <c r="A70" s="38"/>
      <c r="B70" s="37" t="str">
        <f ca="1">B40</f>
        <v xml:space="preserve">Gold  </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2">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6.2">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6.2">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6.2">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2.4">
      <c r="A75" s="38"/>
      <c r="B75" s="53" t="str">
        <f ca="1">OFFSET(L!$C$1,MATCH("Declaration"&amp;ADDRESS(ROW(),COLUMN(),4),L!$A:$A,0)-1,SL,,)&amp;$Q$37</f>
        <v>A. Have you established a responsible minerals sourcing policy?</v>
      </c>
      <c r="C75" s="54"/>
      <c r="D75" s="327" t="s">
        <v>473</v>
      </c>
      <c r="E75" s="328"/>
      <c r="F75" s="54"/>
      <c r="G75" s="335" t="s">
        <v>15893</v>
      </c>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6.2">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v>
      </c>
      <c r="C77" s="54"/>
      <c r="D77" s="327" t="s">
        <v>474</v>
      </c>
      <c r="E77" s="328"/>
      <c r="F77" s="54"/>
      <c r="G77" s="339"/>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6.2">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v>
      </c>
      <c r="C79" s="54"/>
      <c r="D79" s="327" t="s">
        <v>474</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6.2">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v>
      </c>
      <c r="C81" s="54"/>
      <c r="D81" s="327" t="s">
        <v>473</v>
      </c>
      <c r="E81" s="328"/>
      <c r="F81" s="54"/>
      <c r="G81" s="335" t="s">
        <v>15894</v>
      </c>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6.2">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v>
      </c>
      <c r="C83" s="54"/>
      <c r="D83" s="327" t="s">
        <v>14427</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6.2">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6.2">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6.2">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2.4">
      <c r="A89" s="38"/>
      <c r="B89" s="53" t="str">
        <f ca="1">OFFSET(L!$C$1,MATCH("Declaration"&amp;ADDRESS(ROW(),COLUMN(),4),L!$A:$A,0)-1,SL,,)&amp;$Q$37</f>
        <v>H. Is your company required to file an annual conflict minerals disclosure?</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6.2">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6.8"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6.8"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 hidden="1">
      <c r="B98" s="53" t="s">
        <v>475</v>
      </c>
      <c r="D98" s="264" t="str">
        <f>IF(AND(OR($D$26="Yes",$D$26=""),OR($D$32="Yes",$D$32="")),"Unknown","")</f>
        <v/>
      </c>
      <c r="E98" s="264" t="str">
        <f>IF(AND(OR($D$26="Yes",$D$26=""),OR($D$32="Yes",$D$32="")),"Greater than 75%","")</f>
        <v/>
      </c>
      <c r="G98" s="264" t="str">
        <f>IF(OR($D$27="Yes",$D$27=""),"Yes","")</f>
        <v/>
      </c>
    </row>
    <row r="99" spans="2:7" ht="15" hidden="1">
      <c r="B99" s="172">
        <v>1</v>
      </c>
      <c r="D99" s="264" t="str">
        <f>IF(AND(OR($D$27="Yes",$D$27=""),OR($D$33="Yes",$D$33="")),"Yes","")</f>
        <v/>
      </c>
      <c r="E99" s="264" t="str">
        <f>IF(AND(OR($D$26="Yes",$D$26=""),OR($D$32="Yes",$D$32="")),"Greater than 50%","")</f>
        <v/>
      </c>
      <c r="G99" s="264" t="str">
        <f>IF(OR($D$27="Yes",$D$27=""),"No","")</f>
        <v/>
      </c>
    </row>
    <row r="100" spans="2:7" ht="15" hidden="1">
      <c r="B100" s="219" t="s">
        <v>2370</v>
      </c>
      <c r="D100" s="264" t="str">
        <f>IF(AND(OR($D$27="Yes",$D$27=""),OR($D$33="Yes",$D$33="")),"No","")</f>
        <v/>
      </c>
      <c r="E100" s="264" t="str">
        <f>IF(AND(OR($D$26="Yes",$D$26=""),OR($D$32="Yes",$D$32="")),"50% or less","")</f>
        <v/>
      </c>
      <c r="G100" s="264" t="str">
        <f>IF(OR($D$28="Yes",$D$28=""),"Yes","")</f>
        <v/>
      </c>
    </row>
    <row r="101" spans="2:7" ht="15" hidden="1">
      <c r="B101" s="219" t="s">
        <v>2371</v>
      </c>
      <c r="D101" s="264" t="str">
        <f>IF(AND(OR($D$27="Yes",$D$27=""),OR($D$33="Yes",$D$33="")),"Unknown","")</f>
        <v/>
      </c>
      <c r="E101" s="264" t="str">
        <f>IF(AND(OR($D$26="Yes",$D$26=""),OR($D$32="Yes",$D$32="")),"None","")</f>
        <v/>
      </c>
      <c r="G101" s="264" t="str">
        <f>IF(OR($D$28="Yes",$D$28=""),"No","")</f>
        <v/>
      </c>
    </row>
    <row r="102" spans="2:7" ht="15" hidden="1">
      <c r="B102" s="219" t="s">
        <v>2372</v>
      </c>
      <c r="D102" s="264" t="str">
        <f>IF(AND(OR($D$28="Yes",$D$28=""),OR($D$34="Yes",$D$34="")),"Yes","")</f>
        <v/>
      </c>
      <c r="E102" s="264" t="str">
        <f>IF(AND(OR($D$27="Yes",$D$27=""),OR($D$33="Yes",$D$33="")),"100%","")</f>
        <v/>
      </c>
      <c r="G102" s="264" t="str">
        <f>IF(OR($D$29="Yes",$D$29=""),"Yes","")</f>
        <v/>
      </c>
    </row>
    <row r="103" spans="2:7" ht="15" hidden="1">
      <c r="B103" s="219" t="s">
        <v>2373</v>
      </c>
      <c r="D103" s="264" t="str">
        <f>IF(AND(OR($D$28="Yes",$D$28=""),OR($D$34="Yes",$D$34="")),"No","")</f>
        <v/>
      </c>
      <c r="E103" s="264" t="str">
        <f>IF(AND(OR($D$27="Yes",$D$27=""),OR($D$33="Yes",$D$33="")),"Greater than 90%","")</f>
        <v/>
      </c>
      <c r="G103" s="264" t="str">
        <f>IF(OR($D$29="Yes",$D$29=""),"No","")</f>
        <v/>
      </c>
    </row>
    <row r="104" spans="2:7" ht="15" hidden="1">
      <c r="B104" s="219" t="s">
        <v>476</v>
      </c>
      <c r="D104" s="264" t="str">
        <f>IF(AND(OR($D$28="Yes",$D$28=""),OR($D$34="Yes",$D$34="")),"Unknown","")</f>
        <v/>
      </c>
      <c r="E104" s="264" t="str">
        <f>IF(AND(OR($D$27="Yes",$D$27=""),OR($D$33="Yes",$D$33="")),"Greater than 75%","")</f>
        <v/>
      </c>
    </row>
    <row r="105" spans="2:7" ht="15" hidden="1">
      <c r="B105" s="219" t="s">
        <v>14427</v>
      </c>
      <c r="D105" s="264" t="str">
        <f>IF(AND(OR($D$29="Yes",$D$29=""),OR($D$35="Yes",$D$35="")),"Yes","")</f>
        <v/>
      </c>
      <c r="E105" s="264" t="str">
        <f>IF(AND(OR($D$27="Yes",$D$27=""),OR($D$33="Yes",$D$33="")),"Greater than 50%","")</f>
        <v/>
      </c>
    </row>
    <row r="106" spans="2:7" ht="15" hidden="1">
      <c r="B106" s="219" t="s">
        <v>11949</v>
      </c>
      <c r="D106" s="264" t="str">
        <f>IF(AND(OR($D$29="Yes",$D$29=""),OR($D$35="Yes",$D$35="")),"No","")</f>
        <v/>
      </c>
      <c r="E106" s="264" t="str">
        <f>IF(AND(OR($D$27="Yes",$D$27=""),OR($D$33="Yes",$D$33="")),"50% or less","")</f>
        <v/>
      </c>
    </row>
    <row r="107" spans="2:7" ht="15" hidden="1">
      <c r="B107" s="219" t="s">
        <v>474</v>
      </c>
      <c r="D107" s="264" t="str">
        <f>IF(AND(OR($D$29="Yes",$D$29=""),OR($D$35="Yes",$D$35="")),"Unknown","")</f>
        <v/>
      </c>
      <c r="E107" s="264" t="str">
        <f>IF(AND(OR($D$27="Yes",$D$27=""),OR($D$33="Yes",$D$33="")),"None","")</f>
        <v/>
      </c>
    </row>
    <row r="108" spans="2:7" ht="15" hidden="1">
      <c r="B108" s="219" t="s">
        <v>13454</v>
      </c>
      <c r="E108" s="264" t="str">
        <f>IF(AND(OR($D$28="Yes",$D$28=""),OR($D$34="Yes",$D$34="")),"100%","")</f>
        <v/>
      </c>
    </row>
    <row r="109" spans="2:7" ht="15" hidden="1">
      <c r="B109" s="219" t="s">
        <v>13456</v>
      </c>
      <c r="E109" s="264" t="str">
        <f>IF(AND(OR($D$28="Yes",$D$28=""),OR($D$34="Yes",$D$34="")),"Greater than 90%","")</f>
        <v/>
      </c>
    </row>
    <row r="110" spans="2:7" ht="15" hidden="1">
      <c r="B110" s="219" t="s">
        <v>13457</v>
      </c>
      <c r="E110" s="264" t="str">
        <f>IF(AND(OR($D$28="Yes",$D$28=""),OR($D$34="Yes",$D$34="")),"Greater than 75%","")</f>
        <v/>
      </c>
    </row>
    <row r="111" spans="2:7" ht="1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0C30E6E-6380-4667-8EE6-B0A64D7E5891}"/>
    <hyperlink ref="D20" r:id="rId4" xr:uid="{E4B24E50-1D2E-48FE-9F26-86F9F01B7F3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1640625" defaultRowHeight="12.6"/>
  <cols>
    <col min="1" max="1" width="13.6328125" style="210" customWidth="1"/>
    <col min="2" max="2" width="13.36328125" style="212" customWidth="1"/>
    <col min="3" max="3" width="40.6328125" style="212" customWidth="1"/>
    <col min="4" max="4" width="30.6328125" style="212" customWidth="1"/>
    <col min="5" max="5" width="20.81640625" style="212" customWidth="1"/>
    <col min="6" max="7" width="13.81640625" style="212" customWidth="1"/>
    <col min="8" max="8" width="25.1796875" style="212" customWidth="1"/>
    <col min="9" max="9" width="24.1796875" style="212" customWidth="1"/>
    <col min="10" max="10" width="18.36328125" style="212" customWidth="1"/>
    <col min="11" max="11" width="27.36328125" style="212" customWidth="1"/>
    <col min="12" max="12" width="20.6328125" style="212" customWidth="1"/>
    <col min="13" max="13" width="35.1796875" style="212" customWidth="1"/>
    <col min="14" max="14" width="42.1796875" style="212" customWidth="1"/>
    <col min="15" max="15" width="32.1796875" style="212" customWidth="1"/>
    <col min="16" max="16" width="22.81640625" style="212" customWidth="1"/>
    <col min="17" max="17" width="43.6328125" style="212" customWidth="1"/>
    <col min="18" max="18" width="35.81640625" style="212" hidden="1" customWidth="1"/>
    <col min="19" max="20" width="17.81640625" style="212" hidden="1" customWidth="1"/>
    <col min="21" max="21" width="8.81640625" style="212" hidden="1" customWidth="1"/>
    <col min="22" max="22" width="6.1796875" style="212" hidden="1" customWidth="1"/>
    <col min="23" max="23" width="8.6328125" style="212" hidden="1" customWidth="1"/>
    <col min="24" max="24" width="8.81640625" style="212" hidden="1" customWidth="1"/>
    <col min="25" max="27" width="4.36328125" style="212" hidden="1" customWidth="1"/>
    <col min="28" max="28" width="7.81640625" style="212" hidden="1" customWidth="1"/>
    <col min="29" max="33" width="4.36328125" style="212" hidden="1" customWidth="1"/>
    <col min="34" max="34" width="14.6328125" style="212" hidden="1" customWidth="1"/>
    <col min="35" max="39" width="8.81640625" style="212" customWidth="1"/>
    <col min="40" max="16384" width="8.81640625" style="212"/>
  </cols>
  <sheetData>
    <row r="1" spans="1:34" s="204" customFormat="1" ht="16.0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8.2">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tr">
        <f>IF(LEN(A5)=0,"",INDEX('Smelter Look-up'!$A:$A,MATCH($A5,'Smelter Look-up'!$E:$E,0)))</f>
        <v/>
      </c>
      <c r="C5" s="170" t="str">
        <f>IF(LEN(A5)=0,"",INDEX('Smelter Look-up'!$C:$C,MATCH($A5,'Smelter Look-up'!$E:$E,0)))</f>
        <v/>
      </c>
      <c r="D5" s="213"/>
      <c r="E5" s="166" t="str">
        <f ca="1">IF(ISERROR($V5),"",OFFSET('Smelter Look-up'!$D$4,$V5-4,0)&amp;"")</f>
        <v/>
      </c>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
      </c>
      <c r="T5" s="165" t="str">
        <f ca="1">IF(B5="","",IF(ISERROR(MATCH($J5,SorP!$B$1:$B$6261,0)),"",INDIRECT("'SorP'!$A$"&amp;MATCH($S5&amp;$J5,SorP!C:C,0))))</f>
        <v/>
      </c>
      <c r="U5" s="185"/>
      <c r="V5" s="209" t="e">
        <f>IF(C5="",NA(),IF(OR(C5="Smelter not listed",C5="Smelter not yet identified"),MATCH($B5&amp;$D5,'Smelter Look-up'!$J:$J,0),MATCH($B5&amp;$C5,'Smelter Look-up'!$J:$J,0)))</f>
        <v>#N/A</v>
      </c>
      <c r="X5" s="210">
        <f t="shared" ref="X5" ca="1" si="0">IF(AND(C5="Smelter not listed",OR(LEN(D5)=0,LEN(E5)=0)),1,0)</f>
        <v>0</v>
      </c>
      <c r="AB5" s="211" t="str">
        <f t="shared" ref="AB5" si="1">B5&amp;C5</f>
        <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399999999999999">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399999999999999">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399999999999999">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399999999999999">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399999999999999">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399999999999999">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399999999999999">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399999999999999">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399999999999999">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399999999999999">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399999999999999">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399999999999999">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399999999999999">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399999999999999">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399999999999999">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399999999999999">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399999999999999">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399999999999999">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399999999999999">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399999999999999">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399999999999999">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399999999999999">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399999999999999">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399999999999999">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399999999999999">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399999999999999">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399999999999999">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399999999999999">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399999999999999">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399999999999999">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399999999999999">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399999999999999">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399999999999999">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399999999999999">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399999999999999">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399999999999999">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399999999999999">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399999999999999">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399999999999999">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399999999999999">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399999999999999">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399999999999999">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399999999999999">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399999999999999">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399999999999999">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399999999999999">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399999999999999">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399999999999999">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399999999999999">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399999999999999">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399999999999999">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399999999999999">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399999999999999">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399999999999999">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399999999999999">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399999999999999">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399999999999999">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399999999999999">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399999999999999">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399999999999999">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399999999999999">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399999999999999">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399999999999999">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399999999999999">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399999999999999">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399999999999999">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399999999999999">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399999999999999">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399999999999999">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399999999999999">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399999999999999">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399999999999999">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399999999999999">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399999999999999">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399999999999999">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399999999999999">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399999999999999">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399999999999999">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399999999999999">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399999999999999">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399999999999999">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399999999999999">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399999999999999">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399999999999999">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399999999999999">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399999999999999">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399999999999999">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399999999999999">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399999999999999">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399999999999999">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399999999999999">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399999999999999">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399999999999999">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399999999999999">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399999999999999">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399999999999999">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399999999999999">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399999999999999">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399999999999999">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399999999999999">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399999999999999">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399999999999999">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399999999999999">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399999999999999">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399999999999999">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399999999999999">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399999999999999">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399999999999999">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399999999999999">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399999999999999">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399999999999999">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399999999999999">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399999999999999">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399999999999999">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399999999999999">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399999999999999">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399999999999999">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399999999999999">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399999999999999">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399999999999999">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399999999999999">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399999999999999">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399999999999999">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399999999999999">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399999999999999">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399999999999999">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399999999999999">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399999999999999">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399999999999999">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399999999999999">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399999999999999">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399999999999999">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399999999999999">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399999999999999">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399999999999999">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399999999999999">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399999999999999">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399999999999999">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399999999999999">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399999999999999">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399999999999999">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399999999999999">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399999999999999">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399999999999999">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399999999999999">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399999999999999">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399999999999999">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399999999999999">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399999999999999">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399999999999999">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399999999999999">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399999999999999">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399999999999999">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399999999999999">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399999999999999">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399999999999999">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399999999999999">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399999999999999">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399999999999999">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399999999999999">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399999999999999">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399999999999999">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399999999999999">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399999999999999">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399999999999999">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399999999999999">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399999999999999">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399999999999999">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399999999999999">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399999999999999">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399999999999999">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399999999999999">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399999999999999">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399999999999999">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399999999999999">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399999999999999">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399999999999999">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399999999999999">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399999999999999">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399999999999999">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399999999999999">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399999999999999">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399999999999999">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399999999999999">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399999999999999">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399999999999999">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399999999999999">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399999999999999">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399999999999999">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399999999999999">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399999999999999">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399999999999999">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399999999999999">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399999999999999">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399999999999999">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399999999999999">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399999999999999">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399999999999999">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399999999999999">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399999999999999">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399999999999999">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399999999999999">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399999999999999">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399999999999999">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399999999999999">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399999999999999">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399999999999999">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399999999999999">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399999999999999">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399999999999999">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399999999999999">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399999999999999">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399999999999999">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399999999999999">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399999999999999">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399999999999999">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399999999999999">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399999999999999">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399999999999999">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399999999999999">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399999999999999">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399999999999999">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399999999999999">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399999999999999">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399999999999999">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399999999999999">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399999999999999">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399999999999999">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399999999999999">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399999999999999">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399999999999999">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399999999999999">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399999999999999">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399999999999999">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399999999999999">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399999999999999">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399999999999999">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399999999999999">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399999999999999">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399999999999999">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399999999999999">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399999999999999">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399999999999999">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399999999999999">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399999999999999">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399999999999999">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399999999999999">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399999999999999">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399999999999999">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399999999999999">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399999999999999">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399999999999999">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399999999999999">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399999999999999">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399999999999999">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399999999999999">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399999999999999">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399999999999999">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399999999999999">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399999999999999">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399999999999999">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399999999999999">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399999999999999">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399999999999999">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399999999999999">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399999999999999">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399999999999999">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399999999999999">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399999999999999">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399999999999999">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399999999999999">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399999999999999">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399999999999999">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399999999999999">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399999999999999">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399999999999999">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399999999999999">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399999999999999">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399999999999999">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399999999999999">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399999999999999">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399999999999999">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399999999999999">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399999999999999">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399999999999999">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399999999999999">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399999999999999">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399999999999999">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399999999999999">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399999999999999">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399999999999999">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399999999999999">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399999999999999">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399999999999999">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399999999999999">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399999999999999">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399999999999999">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399999999999999">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399999999999999">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399999999999999">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399999999999999">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399999999999999">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399999999999999">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399999999999999">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399999999999999">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399999999999999">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399999999999999">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399999999999999">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399999999999999">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399999999999999">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399999999999999">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399999999999999">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399999999999999">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399999999999999">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399999999999999">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399999999999999">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399999999999999">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399999999999999">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399999999999999">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399999999999999">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399999999999999">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399999999999999">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399999999999999">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399999999999999">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399999999999999">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399999999999999">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399999999999999">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399999999999999">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399999999999999">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399999999999999">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399999999999999">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399999999999999">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399999999999999">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399999999999999">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399999999999999">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399999999999999">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399999999999999">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399999999999999">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399999999999999">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399999999999999">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399999999999999">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399999999999999">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399999999999999">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399999999999999">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399999999999999">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399999999999999">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399999999999999">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399999999999999">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399999999999999">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399999999999999">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399999999999999">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399999999999999">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399999999999999">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399999999999999">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399999999999999">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399999999999999">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399999999999999">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399999999999999">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399999999999999">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399999999999999">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399999999999999">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399999999999999">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399999999999999">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399999999999999">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399999999999999">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399999999999999">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399999999999999">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399999999999999">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399999999999999">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399999999999999">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399999999999999">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399999999999999">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399999999999999">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399999999999999">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399999999999999">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399999999999999">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399999999999999">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399999999999999">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399999999999999">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399999999999999">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399999999999999">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399999999999999">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399999999999999">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399999999999999">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399999999999999">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399999999999999">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399999999999999">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399999999999999">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399999999999999">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399999999999999">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399999999999999">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399999999999999">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399999999999999">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399999999999999">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399999999999999">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399999999999999">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399999999999999">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399999999999999">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399999999999999">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399999999999999">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399999999999999">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399999999999999">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399999999999999">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399999999999999">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399999999999999">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399999999999999">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399999999999999">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399999999999999">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399999999999999">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399999999999999">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399999999999999">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399999999999999">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399999999999999">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399999999999999">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399999999999999">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399999999999999">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399999999999999">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399999999999999">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399999999999999">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399999999999999">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399999999999999">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399999999999999">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399999999999999">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399999999999999">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399999999999999">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399999999999999">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399999999999999">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399999999999999">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399999999999999">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399999999999999">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399999999999999">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399999999999999">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399999999999999">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399999999999999">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399999999999999">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399999999999999">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399999999999999">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399999999999999">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399999999999999">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399999999999999">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399999999999999">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399999999999999">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399999999999999">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399999999999999">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399999999999999">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399999999999999">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399999999999999">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399999999999999">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399999999999999">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399999999999999">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399999999999999">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399999999999999">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399999999999999">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399999999999999">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399999999999999">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399999999999999">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399999999999999">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399999999999999">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399999999999999">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399999999999999">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399999999999999">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399999999999999">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399999999999999">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399999999999999">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399999999999999">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399999999999999">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399999999999999">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399999999999999">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399999999999999">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399999999999999">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399999999999999">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399999999999999">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399999999999999">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399999999999999">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399999999999999">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399999999999999">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399999999999999">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399999999999999">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399999999999999">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399999999999999">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399999999999999">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399999999999999">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399999999999999">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399999999999999">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399999999999999">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399999999999999">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399999999999999">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399999999999999">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399999999999999">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399999999999999">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399999999999999">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399999999999999">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399999999999999">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399999999999999">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399999999999999">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399999999999999">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399999999999999">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399999999999999">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399999999999999">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399999999999999">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399999999999999">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399999999999999">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399999999999999">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399999999999999">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399999999999999">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399999999999999">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399999999999999">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399999999999999">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399999999999999">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399999999999999">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399999999999999">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399999999999999">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399999999999999">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399999999999999">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399999999999999">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399999999999999">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399999999999999">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399999999999999">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399999999999999">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399999999999999">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399999999999999">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399999999999999">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399999999999999">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399999999999999">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399999999999999">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399999999999999">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399999999999999">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399999999999999">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399999999999999">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399999999999999">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399999999999999">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399999999999999">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399999999999999">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399999999999999">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399999999999999">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399999999999999">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399999999999999">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399999999999999">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399999999999999">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399999999999999">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399999999999999">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399999999999999">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399999999999999">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399999999999999">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399999999999999">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399999999999999">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399999999999999">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399999999999999">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399999999999999">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399999999999999">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399999999999999">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399999999999999">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399999999999999">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399999999999999">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399999999999999">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399999999999999">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399999999999999">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399999999999999">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399999999999999">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399999999999999">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399999999999999">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399999999999999">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399999999999999">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399999999999999">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399999999999999">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399999999999999">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399999999999999">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399999999999999">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399999999999999">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399999999999999">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399999999999999">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399999999999999">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399999999999999">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399999999999999">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399999999999999">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399999999999999">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399999999999999">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399999999999999">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399999999999999">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399999999999999">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399999999999999">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399999999999999">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399999999999999">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399999999999999">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399999999999999">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399999999999999">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399999999999999">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399999999999999">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399999999999999">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399999999999999">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399999999999999">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399999999999999">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399999999999999">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399999999999999">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399999999999999">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399999999999999">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399999999999999">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399999999999999">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399999999999999">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399999999999999">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399999999999999">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399999999999999">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399999999999999">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399999999999999">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399999999999999">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399999999999999">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399999999999999">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399999999999999">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399999999999999">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399999999999999">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399999999999999">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399999999999999">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399999999999999">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399999999999999">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399999999999999">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399999999999999">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399999999999999">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399999999999999">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399999999999999">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399999999999999">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399999999999999">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399999999999999">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399999999999999">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399999999999999">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399999999999999">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399999999999999">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399999999999999">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399999999999999">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399999999999999">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399999999999999">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399999999999999">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399999999999999">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399999999999999">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399999999999999">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399999999999999">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399999999999999">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399999999999999">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399999999999999">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399999999999999">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399999999999999">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399999999999999">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399999999999999">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399999999999999">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399999999999999">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399999999999999">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399999999999999">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399999999999999">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399999999999999">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399999999999999">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399999999999999">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399999999999999">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399999999999999">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399999999999999">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399999999999999">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399999999999999">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399999999999999">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399999999999999">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399999999999999">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399999999999999">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399999999999999">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399999999999999">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399999999999999">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399999999999999">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399999999999999">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399999999999999">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399999999999999">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399999999999999">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399999999999999">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399999999999999">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399999999999999">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399999999999999">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399999999999999">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399999999999999">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399999999999999">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399999999999999">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399999999999999">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399999999999999">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399999999999999">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399999999999999">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399999999999999">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399999999999999">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399999999999999">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399999999999999">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399999999999999">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399999999999999">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399999999999999">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399999999999999">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399999999999999">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399999999999999">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399999999999999">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399999999999999">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399999999999999">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399999999999999">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399999999999999">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399999999999999">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399999999999999">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399999999999999">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399999999999999">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399999999999999">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399999999999999">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399999999999999">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399999999999999">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399999999999999">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399999999999999">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399999999999999">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399999999999999">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399999999999999">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399999999999999">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399999999999999">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399999999999999">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399999999999999">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399999999999999">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399999999999999">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399999999999999">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399999999999999">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399999999999999">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399999999999999">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399999999999999">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399999999999999">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399999999999999">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399999999999999">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399999999999999">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399999999999999">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399999999999999">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399999999999999">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399999999999999">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399999999999999">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399999999999999">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399999999999999">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399999999999999">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399999999999999">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399999999999999">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399999999999999">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399999999999999">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399999999999999">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399999999999999">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399999999999999">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399999999999999">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399999999999999">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399999999999999">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399999999999999">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399999999999999">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399999999999999">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399999999999999">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399999999999999">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399999999999999">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399999999999999">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399999999999999">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399999999999999">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399999999999999">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399999999999999">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399999999999999">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399999999999999">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399999999999999">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399999999999999">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399999999999999">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399999999999999">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399999999999999">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399999999999999">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399999999999999">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399999999999999">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399999999999999">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399999999999999">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399999999999999">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399999999999999">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399999999999999">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399999999999999">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399999999999999">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399999999999999">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399999999999999">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399999999999999">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399999999999999">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399999999999999">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399999999999999">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399999999999999">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399999999999999">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399999999999999">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399999999999999">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399999999999999">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399999999999999">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399999999999999">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399999999999999">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399999999999999">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399999999999999">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399999999999999">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399999999999999">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399999999999999">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399999999999999">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399999999999999">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399999999999999">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399999999999999">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399999999999999">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399999999999999">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399999999999999">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399999999999999">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399999999999999">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399999999999999">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399999999999999">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399999999999999">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399999999999999">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399999999999999">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399999999999999">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399999999999999">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399999999999999">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399999999999999">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399999999999999">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399999999999999">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399999999999999">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399999999999999">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399999999999999">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399999999999999">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399999999999999">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399999999999999">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399999999999999">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399999999999999">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399999999999999">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399999999999999">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399999999999999">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399999999999999">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399999999999999">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399999999999999">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399999999999999">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399999999999999">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399999999999999">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399999999999999">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399999999999999">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399999999999999">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399999999999999">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399999999999999">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399999999999999">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399999999999999">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399999999999999">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399999999999999">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399999999999999">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399999999999999">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399999999999999">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399999999999999">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399999999999999">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399999999999999">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399999999999999">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399999999999999">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399999999999999">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399999999999999">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399999999999999">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399999999999999">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399999999999999">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399999999999999">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399999999999999">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399999999999999">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399999999999999">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399999999999999">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399999999999999">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399999999999999">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399999999999999">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399999999999999">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399999999999999">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399999999999999">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399999999999999">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399999999999999">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399999999999999">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399999999999999">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399999999999999">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399999999999999">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399999999999999">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399999999999999">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399999999999999">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399999999999999">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399999999999999">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399999999999999">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399999999999999">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399999999999999">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399999999999999">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399999999999999">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399999999999999">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399999999999999">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399999999999999">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399999999999999">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399999999999999">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399999999999999">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399999999999999">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399999999999999">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399999999999999">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399999999999999">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399999999999999">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399999999999999">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399999999999999">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399999999999999">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399999999999999">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399999999999999">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399999999999999">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399999999999999">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399999999999999">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399999999999999">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399999999999999">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399999999999999">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399999999999999">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399999999999999">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399999999999999">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399999999999999">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399999999999999">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399999999999999">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399999999999999">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399999999999999">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399999999999999">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399999999999999">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399999999999999">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399999999999999">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399999999999999">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399999999999999">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399999999999999">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399999999999999">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399999999999999">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399999999999999">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399999999999999">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399999999999999">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399999999999999">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399999999999999">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399999999999999">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399999999999999">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399999999999999">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399999999999999">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399999999999999">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399999999999999">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399999999999999">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399999999999999">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399999999999999">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399999999999999">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399999999999999">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399999999999999">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399999999999999">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399999999999999">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399999999999999">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399999999999999">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399999999999999">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399999999999999">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399999999999999">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399999999999999">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399999999999999">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399999999999999">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399999999999999">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399999999999999">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399999999999999">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399999999999999">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399999999999999">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399999999999999">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399999999999999">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399999999999999">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399999999999999">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399999999999999">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399999999999999">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399999999999999">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399999999999999">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399999999999999">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399999999999999">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399999999999999">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399999999999999">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399999999999999">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399999999999999">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399999999999999">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399999999999999">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399999999999999">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399999999999999">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399999999999999">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399999999999999">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399999999999999">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399999999999999">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399999999999999">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399999999999999">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399999999999999">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399999999999999">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399999999999999">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399999999999999">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399999999999999">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399999999999999">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399999999999999">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399999999999999">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399999999999999">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399999999999999">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399999999999999">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399999999999999">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399999999999999">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399999999999999">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399999999999999">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399999999999999">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399999999999999">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399999999999999">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399999999999999">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399999999999999">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399999999999999">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399999999999999">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399999999999999">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399999999999999">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399999999999999">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399999999999999">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399999999999999">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399999999999999">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399999999999999">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399999999999999">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399999999999999">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399999999999999">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399999999999999">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399999999999999">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399999999999999">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399999999999999">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399999999999999">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399999999999999">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399999999999999">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399999999999999">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399999999999999">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399999999999999">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399999999999999">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399999999999999">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399999999999999">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399999999999999">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399999999999999">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399999999999999">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399999999999999">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399999999999999">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399999999999999">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399999999999999">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399999999999999">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399999999999999">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399999999999999">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399999999999999">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399999999999999">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399999999999999">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399999999999999">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399999999999999">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399999999999999">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399999999999999">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399999999999999">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399999999999999">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399999999999999">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399999999999999">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399999999999999">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399999999999999">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399999999999999">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399999999999999">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399999999999999">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399999999999999">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399999999999999">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399999999999999">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399999999999999">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399999999999999">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399999999999999">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399999999999999">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399999999999999">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399999999999999">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399999999999999">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399999999999999">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399999999999999">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399999999999999">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399999999999999">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399999999999999">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399999999999999">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399999999999999">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399999999999999">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399999999999999">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399999999999999">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399999999999999">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399999999999999">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399999999999999">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399999999999999">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399999999999999">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399999999999999">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399999999999999">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399999999999999">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399999999999999">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399999999999999">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399999999999999">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399999999999999">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399999999999999">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399999999999999">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399999999999999">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399999999999999">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399999999999999">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399999999999999">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399999999999999">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399999999999999">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399999999999999">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399999999999999">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399999999999999">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399999999999999">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399999999999999">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399999999999999">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399999999999999">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399999999999999">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399999999999999">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399999999999999">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399999999999999">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399999999999999">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399999999999999">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399999999999999">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399999999999999">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399999999999999">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399999999999999">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399999999999999">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399999999999999">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399999999999999">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399999999999999">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399999999999999">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399999999999999">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399999999999999">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399999999999999">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399999999999999">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399999999999999">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399999999999999">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399999999999999">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399999999999999">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399999999999999">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399999999999999">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399999999999999">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399999999999999">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399999999999999">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399999999999999">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399999999999999">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399999999999999">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399999999999999">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399999999999999">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399999999999999">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399999999999999">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399999999999999">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399999999999999">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399999999999999">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399999999999999">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399999999999999">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399999999999999">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399999999999999">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399999999999999">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399999999999999">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399999999999999">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399999999999999">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399999999999999">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399999999999999">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399999999999999">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399999999999999">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399999999999999">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399999999999999">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399999999999999">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399999999999999">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399999999999999">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399999999999999">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399999999999999">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399999999999999">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399999999999999">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399999999999999">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399999999999999">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399999999999999">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399999999999999">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399999999999999">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399999999999999">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399999999999999">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399999999999999">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399999999999999">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399999999999999">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399999999999999">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399999999999999">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399999999999999">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399999999999999">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399999999999999">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399999999999999">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399999999999999">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399999999999999">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399999999999999">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399999999999999">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399999999999999">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399999999999999">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399999999999999">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399999999999999">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399999999999999">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399999999999999">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399999999999999">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399999999999999">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399999999999999">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399999999999999">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399999999999999">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399999999999999">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399999999999999">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399999999999999">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399999999999999">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399999999999999">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399999999999999">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399999999999999">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399999999999999">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399999999999999">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399999999999999">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399999999999999">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399999999999999">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399999999999999">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399999999999999">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399999999999999">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399999999999999">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399999999999999">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399999999999999">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399999999999999">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399999999999999">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399999999999999">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399999999999999">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399999999999999">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399999999999999">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399999999999999">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399999999999999">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399999999999999">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399999999999999">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399999999999999">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399999999999999">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399999999999999">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399999999999999">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399999999999999">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399999999999999">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399999999999999">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399999999999999">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399999999999999">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399999999999999">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399999999999999">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399999999999999">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399999999999999">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399999999999999">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399999999999999">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399999999999999">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399999999999999">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399999999999999">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399999999999999">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399999999999999">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399999999999999">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399999999999999">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399999999999999">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399999999999999">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399999999999999">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399999999999999">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399999999999999">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399999999999999">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399999999999999">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399999999999999">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399999999999999">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399999999999999">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399999999999999">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399999999999999">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399999999999999">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399999999999999">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399999999999999">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399999999999999">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399999999999999">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399999999999999">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399999999999999">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399999999999999">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399999999999999">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399999999999999">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399999999999999">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399999999999999">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399999999999999">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399999999999999">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399999999999999">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399999999999999">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399999999999999">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399999999999999">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399999999999999">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399999999999999">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399999999999999">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399999999999999">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399999999999999">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399999999999999">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399999999999999">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399999999999999">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399999999999999">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399999999999999">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399999999999999">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399999999999999">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399999999999999">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399999999999999">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399999999999999">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399999999999999">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399999999999999">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399999999999999">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399999999999999">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399999999999999">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399999999999999">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399999999999999">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399999999999999">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399999999999999">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399999999999999">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399999999999999">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399999999999999">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399999999999999">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399999999999999">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399999999999999">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399999999999999">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399999999999999">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399999999999999">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399999999999999">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399999999999999">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399999999999999">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399999999999999">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399999999999999">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399999999999999">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399999999999999">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399999999999999">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399999999999999">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399999999999999">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399999999999999">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399999999999999">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399999999999999">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399999999999999">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399999999999999">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399999999999999">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399999999999999">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399999999999999">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399999999999999">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399999999999999">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399999999999999">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399999999999999">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399999999999999">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399999999999999">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399999999999999">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399999999999999">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399999999999999">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399999999999999">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399999999999999">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399999999999999">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399999999999999">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399999999999999">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399999999999999">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399999999999999">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399999999999999">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399999999999999">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399999999999999">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399999999999999">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399999999999999">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399999999999999">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399999999999999">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399999999999999">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399999999999999">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399999999999999">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399999999999999">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399999999999999">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399999999999999">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399999999999999">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399999999999999">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399999999999999">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399999999999999">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399999999999999">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399999999999999">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399999999999999">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399999999999999">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399999999999999">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399999999999999">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399999999999999">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399999999999999">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399999999999999">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399999999999999">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399999999999999">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399999999999999">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399999999999999">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399999999999999">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399999999999999">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399999999999999">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399999999999999">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399999999999999">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399999999999999">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399999999999999">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399999999999999">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399999999999999">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399999999999999">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399999999999999">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399999999999999">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399999999999999">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399999999999999">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399999999999999">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399999999999999">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399999999999999">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399999999999999">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399999999999999">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399999999999999">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399999999999999">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399999999999999">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399999999999999">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399999999999999">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399999999999999">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399999999999999">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399999999999999">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399999999999999">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399999999999999">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399999999999999">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399999999999999">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399999999999999">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399999999999999">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399999999999999">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399999999999999">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399999999999999">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399999999999999">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399999999999999">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399999999999999">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399999999999999">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399999999999999">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399999999999999">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399999999999999">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399999999999999">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399999999999999">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399999999999999">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399999999999999">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399999999999999">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399999999999999">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399999999999999">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399999999999999">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399999999999999">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399999999999999">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399999999999999">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399999999999999">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399999999999999">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399999999999999">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399999999999999">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399999999999999">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399999999999999">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399999999999999">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399999999999999">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399999999999999">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399999999999999">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399999999999999">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399999999999999">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399999999999999">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399999999999999">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399999999999999">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399999999999999">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399999999999999">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399999999999999">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399999999999999">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399999999999999">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399999999999999">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399999999999999">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399999999999999">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399999999999999">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399999999999999">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399999999999999">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399999999999999">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399999999999999">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399999999999999">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399999999999999">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399999999999999">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399999999999999">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399999999999999">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399999999999999">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399999999999999">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399999999999999">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399999999999999">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399999999999999">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399999999999999">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399999999999999">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399999999999999">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399999999999999">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399999999999999">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399999999999999">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399999999999999">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399999999999999">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399999999999999">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399999999999999">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399999999999999">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399999999999999">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399999999999999">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399999999999999">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399999999999999">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399999999999999">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399999999999999">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399999999999999">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399999999999999">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399999999999999">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399999999999999">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399999999999999">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399999999999999">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399999999999999">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399999999999999">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399999999999999">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399999999999999">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399999999999999">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399999999999999">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399999999999999">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399999999999999">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399999999999999">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399999999999999">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399999999999999">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399999999999999">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399999999999999">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399999999999999">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399999999999999">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399999999999999">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399999999999999">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399999999999999">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399999999999999">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399999999999999">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399999999999999">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399999999999999">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399999999999999">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399999999999999">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399999999999999">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399999999999999">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399999999999999">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399999999999999">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399999999999999">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399999999999999">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399999999999999">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399999999999999">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399999999999999">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399999999999999">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399999999999999">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399999999999999">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399999999999999">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399999999999999">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399999999999999">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399999999999999">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399999999999999">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399999999999999">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399999999999999">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399999999999999">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399999999999999">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399999999999999">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399999999999999">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399999999999999">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399999999999999">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399999999999999">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399999999999999">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399999999999999">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399999999999999">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399999999999999">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399999999999999">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399999999999999">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399999999999999">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399999999999999">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399999999999999">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399999999999999">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399999999999999">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399999999999999">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399999999999999">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399999999999999">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399999999999999">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399999999999999">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399999999999999">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399999999999999">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399999999999999">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399999999999999">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399999999999999">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399999999999999">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399999999999999">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399999999999999">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399999999999999">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399999999999999">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399999999999999">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399999999999999">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399999999999999">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399999999999999">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399999999999999">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399999999999999">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399999999999999">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399999999999999">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399999999999999">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399999999999999">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399999999999999">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399999999999999">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399999999999999">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399999999999999">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399999999999999">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399999999999999">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399999999999999">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399999999999999">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399999999999999">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399999999999999">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399999999999999">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399999999999999">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399999999999999">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399999999999999">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399999999999999">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399999999999999">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399999999999999">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399999999999999">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399999999999999">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399999999999999">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399999999999999">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399999999999999">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399999999999999">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399999999999999">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399999999999999">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399999999999999">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399999999999999">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399999999999999">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399999999999999">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399999999999999">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399999999999999">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399999999999999">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399999999999999">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399999999999999">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399999999999999">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399999999999999">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399999999999999">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399999999999999">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399999999999999">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399999999999999">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399999999999999">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399999999999999">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399999999999999">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399999999999999">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399999999999999">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399999999999999">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399999999999999">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399999999999999">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399999999999999">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399999999999999">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399999999999999">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399999999999999">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399999999999999">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399999999999999">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399999999999999">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399999999999999">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399999999999999">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399999999999999">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399999999999999">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399999999999999">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399999999999999">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399999999999999">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399999999999999">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399999999999999">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399999999999999">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399999999999999">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399999999999999">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399999999999999">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399999999999999">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399999999999999">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399999999999999">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399999999999999">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399999999999999">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399999999999999">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399999999999999">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399999999999999">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399999999999999">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399999999999999">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399999999999999">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399999999999999">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399999999999999">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399999999999999">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399999999999999">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399999999999999">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399999999999999">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399999999999999">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399999999999999">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399999999999999">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399999999999999">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399999999999999">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399999999999999">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399999999999999">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399999999999999">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399999999999999">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399999999999999">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399999999999999">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399999999999999">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399999999999999">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399999999999999">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399999999999999">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399999999999999">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399999999999999">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399999999999999">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399999999999999">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399999999999999">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399999999999999">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399999999999999">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399999999999999">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399999999999999">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399999999999999">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399999999999999">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399999999999999">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399999999999999">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399999999999999">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399999999999999">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399999999999999">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399999999999999">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399999999999999">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399999999999999">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399999999999999">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399999999999999">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399999999999999">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399999999999999">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399999999999999">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399999999999999">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399999999999999">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399999999999999">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399999999999999">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399999999999999">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399999999999999">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399999999999999">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399999999999999">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399999999999999">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399999999999999">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399999999999999">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399999999999999">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399999999999999">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399999999999999">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399999999999999">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399999999999999">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399999999999999">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399999999999999">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399999999999999">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399999999999999">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399999999999999">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399999999999999">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399999999999999">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399999999999999">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399999999999999">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399999999999999">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399999999999999">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399999999999999">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399999999999999">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399999999999999">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399999999999999">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399999999999999">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399999999999999">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399999999999999">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399999999999999">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399999999999999">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399999999999999">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399999999999999">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399999999999999">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399999999999999">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399999999999999">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399999999999999">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399999999999999">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399999999999999">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399999999999999">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399999999999999">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399999999999999">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399999999999999">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399999999999999">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399999999999999">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399999999999999">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399999999999999">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399999999999999">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399999999999999">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399999999999999">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399999999999999">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399999999999999">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399999999999999">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399999999999999">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399999999999999">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399999999999999">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399999999999999">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399999999999999">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399999999999999">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399999999999999">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399999999999999">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399999999999999">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399999999999999">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399999999999999">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399999999999999">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399999999999999">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399999999999999">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399999999999999">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399999999999999">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399999999999999">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399999999999999">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399999999999999">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399999999999999">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399999999999999">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399999999999999">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399999999999999">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399999999999999">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399999999999999">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399999999999999">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399999999999999">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399999999999999">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399999999999999">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399999999999999">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399999999999999">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399999999999999">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399999999999999">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399999999999999">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399999999999999">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399999999999999">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399999999999999">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399999999999999">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399999999999999">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399999999999999">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399999999999999">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399999999999999">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399999999999999">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399999999999999">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399999999999999">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399999999999999">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399999999999999">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399999999999999">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399999999999999">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399999999999999">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399999999999999">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399999999999999">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399999999999999">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399999999999999">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399999999999999">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399999999999999">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399999999999999">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399999999999999">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399999999999999">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399999999999999">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399999999999999">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399999999999999">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399999999999999">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399999999999999">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399999999999999">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399999999999999">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399999999999999">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399999999999999">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399999999999999">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399999999999999">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399999999999999">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399999999999999">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399999999999999">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399999999999999">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399999999999999">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399999999999999">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399999999999999">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399999999999999">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399999999999999">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399999999999999">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399999999999999">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399999999999999">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399999999999999">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399999999999999">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399999999999999">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399999999999999">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399999999999999">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399999999999999">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399999999999999">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399999999999999">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399999999999999">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399999999999999">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399999999999999">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399999999999999">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399999999999999">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399999999999999">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399999999999999">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399999999999999">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399999999999999">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399999999999999">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399999999999999">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399999999999999">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399999999999999">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399999999999999">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399999999999999">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399999999999999">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399999999999999">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399999999999999">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399999999999999">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399999999999999">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399999999999999">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399999999999999">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399999999999999">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399999999999999">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399999999999999">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399999999999999">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399999999999999">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399999999999999">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399999999999999">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399999999999999">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399999999999999">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399999999999999">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399999999999999">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399999999999999">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399999999999999">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399999999999999">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399999999999999">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399999999999999">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399999999999999">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399999999999999">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399999999999999">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399999999999999">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399999999999999">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399999999999999">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399999999999999">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399999999999999">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399999999999999">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399999999999999">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399999999999999">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399999999999999">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399999999999999">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399999999999999">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399999999999999">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399999999999999">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399999999999999">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399999999999999">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399999999999999">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399999999999999">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399999999999999">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399999999999999">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399999999999999">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399999999999999">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399999999999999">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399999999999999">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399999999999999">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399999999999999">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399999999999999">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399999999999999">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399999999999999">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399999999999999">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399999999999999">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399999999999999">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399999999999999">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399999999999999">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399999999999999">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399999999999999">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399999999999999">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399999999999999">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399999999999999">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399999999999999">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399999999999999">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399999999999999">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399999999999999">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399999999999999">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399999999999999">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399999999999999">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399999999999999">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399999999999999">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399999999999999">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399999999999999">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399999999999999">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399999999999999">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399999999999999">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399999999999999">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399999999999999">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399999999999999">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399999999999999">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399999999999999">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399999999999999">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399999999999999">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399999999999999">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399999999999999">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399999999999999">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399999999999999">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399999999999999">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399999999999999">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399999999999999">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399999999999999">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399999999999999">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399999999999999">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399999999999999">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399999999999999">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399999999999999">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399999999999999">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399999999999999">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399999999999999">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399999999999999">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399999999999999">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399999999999999">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399999999999999">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399999999999999">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399999999999999">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399999999999999">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399999999999999">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399999999999999">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399999999999999">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399999999999999">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399999999999999">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399999999999999">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399999999999999">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399999999999999">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399999999999999">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399999999999999">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399999999999999">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399999999999999">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399999999999999">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399999999999999">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399999999999999">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399999999999999">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399999999999999">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399999999999999">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399999999999999">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399999999999999">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399999999999999">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399999999999999">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399999999999999">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399999999999999">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399999999999999">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399999999999999">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399999999999999">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399999999999999">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399999999999999">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399999999999999">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399999999999999">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399999999999999">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399999999999999">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399999999999999">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399999999999999">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399999999999999">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399999999999999">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399999999999999">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399999999999999">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399999999999999">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399999999999999">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399999999999999">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399999999999999">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399999999999999">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399999999999999">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399999999999999">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399999999999999">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399999999999999">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399999999999999">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399999999999999">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399999999999999">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399999999999999">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399999999999999">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399999999999999">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399999999999999">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399999999999999">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399999999999999">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399999999999999">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399999999999999">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399999999999999">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399999999999999">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399999999999999">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399999999999999">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399999999999999">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399999999999999">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399999999999999">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399999999999999">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399999999999999">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399999999999999">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399999999999999">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399999999999999">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399999999999999">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399999999999999">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399999999999999">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399999999999999">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399999999999999">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399999999999999">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399999999999999">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399999999999999">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399999999999999">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399999999999999">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399999999999999">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399999999999999">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399999999999999">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399999999999999">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399999999999999">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399999999999999">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399999999999999">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399999999999999">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399999999999999">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399999999999999">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399999999999999">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399999999999999">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399999999999999">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399999999999999">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399999999999999">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399999999999999">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399999999999999">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399999999999999">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399999999999999">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399999999999999">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399999999999999">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399999999999999">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399999999999999">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399999999999999">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399999999999999">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399999999999999">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399999999999999">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399999999999999">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399999999999999">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399999999999999">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399999999999999">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399999999999999">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399999999999999">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399999999999999">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399999999999999">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399999999999999">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399999999999999">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399999999999999">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399999999999999">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399999999999999">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399999999999999">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399999999999999">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399999999999999">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399999999999999">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399999999999999">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399999999999999">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399999999999999">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399999999999999">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399999999999999">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399999999999999">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399999999999999">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399999999999999">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399999999999999">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399999999999999">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399999999999999">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399999999999999">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399999999999999">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399999999999999">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399999999999999">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399999999999999">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399999999999999">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399999999999999">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399999999999999">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399999999999999">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399999999999999">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399999999999999">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399999999999999">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399999999999999">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399999999999999">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399999999999999">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399999999999999">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399999999999999">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399999999999999">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399999999999999">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399999999999999">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399999999999999">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399999999999999">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399999999999999">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399999999999999">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399999999999999">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399999999999999">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399999999999999">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399999999999999">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399999999999999">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399999999999999">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399999999999999">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399999999999999">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399999999999999">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399999999999999">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399999999999999">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399999999999999">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399999999999999">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399999999999999">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399999999999999">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399999999999999">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399999999999999">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399999999999999">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399999999999999">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399999999999999">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399999999999999">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399999999999999">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399999999999999">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399999999999999">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399999999999999">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399999999999999">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399999999999999">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399999999999999">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399999999999999">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399999999999999">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399999999999999">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399999999999999">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399999999999999">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399999999999999">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399999999999999">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399999999999999">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399999999999999">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399999999999999">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399999999999999">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399999999999999">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399999999999999">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399999999999999">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399999999999999">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399999999999999">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399999999999999">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399999999999999">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399999999999999">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399999999999999">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399999999999999">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399999999999999">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399999999999999">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399999999999999">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399999999999999">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399999999999999">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399999999999999">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399999999999999">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399999999999999">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399999999999999">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399999999999999">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399999999999999">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399999999999999">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399999999999999">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399999999999999">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399999999999999">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399999999999999">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399999999999999">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399999999999999">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399999999999999">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399999999999999">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399999999999999">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399999999999999">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399999999999999">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399999999999999">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399999999999999">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399999999999999">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399999999999999">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399999999999999">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399999999999999">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399999999999999">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399999999999999">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399999999999999">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399999999999999">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399999999999999">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399999999999999">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399999999999999">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399999999999999">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399999999999999">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399999999999999">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399999999999999">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399999999999999">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399999999999999">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399999999999999">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399999999999999">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399999999999999">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399999999999999">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399999999999999">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399999999999999">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399999999999999">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399999999999999">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399999999999999">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399999999999999">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399999999999999">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399999999999999">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399999999999999">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399999999999999">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399999999999999">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399999999999999">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399999999999999">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399999999999999">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399999999999999">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399999999999999">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399999999999999">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399999999999999">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399999999999999">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399999999999999">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399999999999999">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399999999999999">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399999999999999">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399999999999999">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399999999999999">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399999999999999">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399999999999999">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399999999999999">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399999999999999">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399999999999999">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399999999999999">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399999999999999">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399999999999999">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399999999999999">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399999999999999">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399999999999999">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399999999999999">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399999999999999">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399999999999999">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399999999999999">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399999999999999">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399999999999999">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399999999999999">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399999999999999">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399999999999999">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399999999999999">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399999999999999">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399999999999999">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399999999999999">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399999999999999">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399999999999999">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399999999999999">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399999999999999">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399999999999999">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399999999999999">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399999999999999">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399999999999999">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399999999999999">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399999999999999">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399999999999999">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399999999999999">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399999999999999">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399999999999999">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399999999999999">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399999999999999">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399999999999999">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399999999999999">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399999999999999">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399999999999999">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399999999999999">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399999999999999">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399999999999999">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399999999999999">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399999999999999">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399999999999999">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399999999999999">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399999999999999">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399999999999999">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399999999999999">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399999999999999">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399999999999999">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399999999999999">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399999999999999">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399999999999999">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399999999999999">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399999999999999">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399999999999999">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399999999999999">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399999999999999">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399999999999999">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399999999999999">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399999999999999">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399999999999999">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399999999999999">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399999999999999">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399999999999999">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399999999999999">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399999999999999">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399999999999999">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399999999999999">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399999999999999">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399999999999999">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399999999999999">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399999999999999">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399999999999999">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399999999999999">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399999999999999">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399999999999999">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399999999999999">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399999999999999">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399999999999999">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399999999999999">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399999999999999">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399999999999999">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399999999999999">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399999999999999">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399999999999999">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399999999999999">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399999999999999">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399999999999999">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399999999999999">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399999999999999">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399999999999999">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399999999999999">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399999999999999">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399999999999999">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399999999999999">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399999999999999">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399999999999999">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399999999999999">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399999999999999">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399999999999999">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399999999999999">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399999999999999">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399999999999999">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399999999999999">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399999999999999">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399999999999999">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399999999999999">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399999999999999">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399999999999999">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399999999999999">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399999999999999">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399999999999999">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399999999999999">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399999999999999">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399999999999999">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399999999999999">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399999999999999">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399999999999999">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399999999999999">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399999999999999">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399999999999999">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399999999999999">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399999999999999">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399999999999999">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399999999999999">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399999999999999">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399999999999999">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399999999999999">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399999999999999">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399999999999999">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399999999999999">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399999999999999">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399999999999999">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399999999999999">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399999999999999">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399999999999999">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399999999999999">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399999999999999">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399999999999999">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399999999999999">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399999999999999">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399999999999999">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399999999999999">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399999999999999">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399999999999999">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399999999999999">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399999999999999">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399999999999999">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399999999999999">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399999999999999">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399999999999999">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399999999999999">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399999999999999">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399999999999999">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399999999999999">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399999999999999">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399999999999999">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399999999999999">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399999999999999">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399999999999999">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399999999999999">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399999999999999">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399999999999999">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399999999999999">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399999999999999">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399999999999999">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399999999999999">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399999999999999">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399999999999999">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399999999999999">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399999999999999">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399999999999999">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399999999999999">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399999999999999">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399999999999999">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399999999999999">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399999999999999">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399999999999999">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399999999999999">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399999999999999">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399999999999999">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399999999999999">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399999999999999">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399999999999999">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399999999999999">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399999999999999">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399999999999999">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399999999999999">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399999999999999">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399999999999999">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399999999999999">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399999999999999">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399999999999999">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399999999999999">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399999999999999">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399999999999999">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399999999999999">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399999999999999">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399999999999999">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399999999999999">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399999999999999">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399999999999999">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399999999999999">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399999999999999">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399999999999999">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399999999999999">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399999999999999">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399999999999999">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399999999999999">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399999999999999">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399999999999999">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399999999999999">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399999999999999">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399999999999999">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399999999999999">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399999999999999">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399999999999999">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399999999999999">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399999999999999">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399999999999999">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399999999999999">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399999999999999">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399999999999999">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399999999999999">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399999999999999">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399999999999999">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399999999999999">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399999999999999">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399999999999999">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399999999999999">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399999999999999">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399999999999999">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399999999999999">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399999999999999">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399999999999999">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399999999999999">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399999999999999">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399999999999999">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399999999999999">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399999999999999">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399999999999999">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399999999999999">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399999999999999">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399999999999999">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399999999999999">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399999999999999">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399999999999999">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399999999999999">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399999999999999">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399999999999999">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2"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B5E5A8F-C199-424F-8C2F-957C80883F39}"/>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8" customWidth="1"/>
    <col min="2" max="2" width="42.81640625" style="19" customWidth="1"/>
    <col min="3" max="3" width="51.6328125" style="18" customWidth="1"/>
    <col min="4" max="4" width="29.1796875" style="19" customWidth="1"/>
    <col min="5" max="5" width="9" style="18" customWidth="1"/>
    <col min="6" max="6" width="13.6328125" style="18" hidden="1" customWidth="1"/>
    <col min="7" max="7" width="13.36328125" style="18" hidden="1" customWidth="1"/>
    <col min="8" max="9" width="9" style="18" hidden="1" customWidth="1"/>
    <col min="10" max="10" width="48.81640625" style="18" hidden="1" customWidth="1"/>
    <col min="11" max="11" width="9" style="18" hidden="1" customWidth="1"/>
    <col min="12" max="15" width="8.81640625" style="18" hidden="1" customWidth="1"/>
    <col min="16" max="18" width="8.81640625" style="18" customWidth="1"/>
    <col min="19" max="16384" width="8.81640625" style="18"/>
  </cols>
  <sheetData>
    <row r="1" spans="1:10" ht="32.4">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6.2">
      <c r="A2" s="63" t="s">
        <v>858</v>
      </c>
      <c r="B2" s="64" t="str">
        <f>IF(F65=1,"Click here to return to Smelter List","")</f>
        <v/>
      </c>
      <c r="C2" s="118" t="str">
        <f>IF(F65=1,"Click here to return to Product List","")</f>
        <v/>
      </c>
      <c r="D2" s="144" t="str">
        <f ca="1">IF(H70=0,"0",H70)</f>
        <v>0</v>
      </c>
    </row>
    <row r="3" spans="1:10" ht="16.2">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Motion Industries,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t="str">
        <f>Declaration!D10</f>
        <v>Motion Industries, Inc,. Motion Canada, BRASS, AST Bearing, General Tools and Supply, Voorhies, Numatic Engineering, and all subsidiaries and divisions.</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Sustainability Team</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MOT-Sustainability-SN@motion.com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800-526-9328</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Craig Edwards</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MOT-Sustainability-SN@motion.com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46147</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
      <c r="A13" s="86" t="str">
        <f ca="1">Declaration!B25</f>
        <v>1) Is any 3TG intentionally added or used in the product(s) or in the production process? (*)</v>
      </c>
      <c r="B13" s="89"/>
      <c r="C13" s="89"/>
      <c r="D13" s="93"/>
      <c r="E13" s="19" t="s">
        <v>773</v>
      </c>
      <c r="F13" s="90"/>
      <c r="H13" s="18">
        <f t="shared" si="3"/>
        <v>0</v>
      </c>
    </row>
    <row r="14" spans="1:10" ht="26.4">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0.4">
      <c r="A18" s="86" t="str">
        <f ca="1">Declaration!B31</f>
        <v>2) Does any 3TG remain in the product(s)?</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6" t="str">
        <f ca="1">Declaration!B49</f>
        <v xml:space="preserve">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6" t="str">
        <f ca="1">Declaration!B55</f>
        <v xml:space="preserve">6) What percentage of relevant suppliers have provided a response to your supply chain survey? </v>
      </c>
      <c r="B38" s="89"/>
      <c r="C38" s="89"/>
      <c r="D38" s="93"/>
      <c r="E38" s="19" t="s">
        <v>770</v>
      </c>
      <c r="F38" s="90"/>
    </row>
    <row r="39" spans="1:10" ht="26.4">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4">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4">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4">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0.4">
      <c r="A43" s="86" t="str">
        <f ca="1">Declaration!B61</f>
        <v xml:space="preserve">7) Have you identified all of the smelters supplying the 3TG to your supply chain? </v>
      </c>
      <c r="B43" s="89"/>
      <c r="C43" s="89"/>
      <c r="D43" s="93"/>
      <c r="E43" s="19" t="s">
        <v>771</v>
      </c>
      <c r="F43" s="90"/>
    </row>
    <row r="44" spans="1:10" ht="51.6">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6">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6">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6">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
      <c r="A48" s="86" t="str">
        <f ca="1">Declaration!B67</f>
        <v xml:space="preserve">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2">
      <c r="A53" s="86" t="str">
        <f ca="1">Declaration!B74</f>
        <v>Question</v>
      </c>
      <c r="B53" s="89"/>
      <c r="C53" s="89"/>
      <c r="D53" s="93"/>
      <c r="E53" s="19" t="s">
        <v>426</v>
      </c>
      <c r="F53" s="90"/>
      <c r="G53" s="90"/>
      <c r="H53" s="90"/>
    </row>
    <row r="54" spans="1:10" ht="39">
      <c r="A54" s="86" t="str">
        <f ca="1">Declaration!B75</f>
        <v>A. Have you established a responsible minerals sourcing policy?</v>
      </c>
      <c r="B54" s="86" t="str">
        <f>Declaration!D75</f>
        <v>Yes</v>
      </c>
      <c r="C54" s="86" t="str">
        <f t="shared" ref="C54:C60" ca="1" si="10">IF(H54=1,J54,I54)</f>
        <v>Complete</v>
      </c>
      <c r="D54" s="92" t="str">
        <f>IF(H54=1,"Click here to answer question (A)","")</f>
        <v/>
      </c>
      <c r="E54" s="19" t="s">
        <v>1261</v>
      </c>
      <c r="F54" s="91">
        <f>IF(SUM(F$24:F$27)=0,0,1)</f>
        <v>0</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v>
      </c>
      <c r="B55" s="86" t="str">
        <f>Declaration!D77</f>
        <v>No</v>
      </c>
      <c r="C55" s="86" t="str">
        <f t="shared" ca="1" si="10"/>
        <v>Complete</v>
      </c>
      <c r="D55" s="92" t="str">
        <f>IF(H55=1,"Click here to answer question (B)","")</f>
        <v/>
      </c>
      <c r="E55" s="19" t="s">
        <v>1261</v>
      </c>
      <c r="F55" s="91">
        <f t="shared" ref="F55" si="12">F$54</f>
        <v>0</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49999999999997"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
      <c r="A57" s="86" t="str">
        <f ca="1">Declaration!B79</f>
        <v>C. Do you require your direct suppliers to source the 3TG from smelters whose due diligence practices have been validated by an independent third party audit program?</v>
      </c>
      <c r="B57" s="86" t="str">
        <f>Declaration!D79</f>
        <v>No</v>
      </c>
      <c r="C57" s="86" t="str">
        <f t="shared" ca="1" si="10"/>
        <v>Complete</v>
      </c>
      <c r="D57" s="92" t="str">
        <f>IF(H57=1,"Click here to answer question (C)","")</f>
        <v/>
      </c>
      <c r="E57" s="19" t="s">
        <v>1261</v>
      </c>
      <c r="F57" s="91">
        <f>F$54</f>
        <v>0</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v>
      </c>
      <c r="B58" s="86" t="str">
        <f>Declaration!D81</f>
        <v>Yes</v>
      </c>
      <c r="C58" s="86" t="str">
        <f t="shared" ca="1" si="10"/>
        <v>Complete</v>
      </c>
      <c r="D58" s="92" t="str">
        <f>IF(H58=1,"Click here to answer question (D)","")</f>
        <v/>
      </c>
      <c r="E58" s="19" t="s">
        <v>1261</v>
      </c>
      <c r="F58" s="91">
        <f>F$54</f>
        <v>0</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v>
      </c>
      <c r="B59" s="86" t="str">
        <f>Declaration!D83</f>
        <v>Yes, in conformance with IPC1755 (e.g., CMRT)</v>
      </c>
      <c r="C59" s="86" t="str">
        <f t="shared" ca="1" si="10"/>
        <v>Complete</v>
      </c>
      <c r="D59" s="92" t="str">
        <f>IF(H59=1,"Click here to answer question (E)","")</f>
        <v/>
      </c>
      <c r="E59" s="19" t="s">
        <v>1261</v>
      </c>
      <c r="F59" s="91">
        <f>F$54</f>
        <v>0</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v>
      </c>
      <c r="B60" s="86" t="str">
        <f>Declaration!D85</f>
        <v>Yes</v>
      </c>
      <c r="C60" s="86" t="str">
        <f t="shared" ca="1" si="10"/>
        <v>Complete</v>
      </c>
      <c r="D60" s="92" t="str">
        <f>IF(H60=1,"Click here to answer question (F)","")</f>
        <v/>
      </c>
      <c r="E60" s="19" t="s">
        <v>1261</v>
      </c>
      <c r="F60" s="91">
        <f>F$54</f>
        <v>0</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4" hidden="1">
      <c r="A61" s="86"/>
      <c r="B61" s="86"/>
      <c r="C61" s="86"/>
      <c r="D61" s="92"/>
      <c r="E61" s="19"/>
      <c r="F61" s="91"/>
      <c r="G61" s="67"/>
      <c r="H61" s="68"/>
      <c r="I61" s="142"/>
    </row>
    <row r="62" spans="1:10" ht="39">
      <c r="A62" s="86" t="str">
        <f ca="1">Declaration!B87</f>
        <v>G. Does your review process include corrective action management?</v>
      </c>
      <c r="B62" s="86" t="str">
        <f>Declaration!D87</f>
        <v>Yes</v>
      </c>
      <c r="C62" s="86" t="str">
        <f t="shared" ref="C62:C68" ca="1" si="13">IF(H62=1,J62,I62)</f>
        <v>Complete</v>
      </c>
      <c r="D62" s="92" t="str">
        <f>IF(H62=1,"Click here to answer question (G)","")</f>
        <v/>
      </c>
      <c r="E62" s="19" t="s">
        <v>1261</v>
      </c>
      <c r="F62" s="91">
        <f>F$54</f>
        <v>0</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v>
      </c>
      <c r="B63" s="86" t="str">
        <f>Declaration!D89</f>
        <v>No</v>
      </c>
      <c r="C63" s="86" t="str">
        <f t="shared" ca="1" si="13"/>
        <v>Complete</v>
      </c>
      <c r="D63" s="92" t="str">
        <f>IF(H63=1,"Click here to answer question (H)","")</f>
        <v/>
      </c>
      <c r="E63" s="19" t="s">
        <v>1261</v>
      </c>
      <c r="F63" s="91">
        <f>F$54</f>
        <v>0</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0</v>
      </c>
      <c r="G66" s="67">
        <f>IF(AND(COUNTIF(SmelterIdetifiedForMetal,"Tin")&gt;0,COUNTIF('Smelter List'!AB$5:AB$2504,"Tin?*")&gt;0),0,1)</f>
        <v>1</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2">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2"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8"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59" customWidth="1"/>
    <col min="2" max="2" width="39.81640625" style="262" customWidth="1"/>
    <col min="3" max="5" width="39.81640625" style="259" customWidth="1"/>
    <col min="6" max="6" width="58.81640625" style="259" customWidth="1"/>
    <col min="7" max="7" width="1.6328125" style="259" customWidth="1"/>
    <col min="8" max="8" width="9" style="259" customWidth="1"/>
    <col min="9" max="16384" width="8.8164062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ht="13.2">
      <c r="A2" s="22"/>
      <c r="B2" s="117"/>
      <c r="C2" s="117"/>
      <c r="D2" s="117"/>
      <c r="E2" s="117"/>
      <c r="F2"/>
      <c r="G2" s="23"/>
      <c r="H2"/>
    </row>
    <row r="3" spans="1:8" s="20" customFormat="1" ht="13.2">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2"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tabSelected="1"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73" bestFit="1" customWidth="1"/>
    <col min="2" max="2" width="42.81640625" style="173" customWidth="1"/>
    <col min="3" max="3" width="63.81640625" style="173" customWidth="1"/>
    <col min="4" max="4" width="25.6328125" style="173" customWidth="1"/>
    <col min="5" max="5" width="12.6328125" style="173" customWidth="1"/>
    <col min="6" max="6" width="12.6328125" style="174" customWidth="1"/>
    <col min="7" max="7" width="15.36328125" style="173" customWidth="1"/>
    <col min="8" max="8" width="23.81640625" style="173" customWidth="1"/>
    <col min="9" max="9" width="28.1796875" style="173" customWidth="1"/>
    <col min="10" max="10" width="48.26953125" style="173" hidden="1" customWidth="1"/>
    <col min="11" max="11" width="49.7265625" style="173" hidden="1" customWidth="1"/>
    <col min="12" max="16384" width="8.8164062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0.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1640625" defaultRowHeight="13.8"/>
  <cols>
    <col min="1" max="1" width="14.6328125" style="148" customWidth="1"/>
    <col min="2" max="2" width="14" style="148" customWidth="1"/>
    <col min="3" max="3" width="6.1796875" style="148" customWidth="1"/>
    <col min="4" max="4" width="56.26953125" style="148" customWidth="1"/>
    <col min="5" max="5" width="53.7265625" style="216" customWidth="1"/>
    <col min="6" max="6" width="54.1796875" style="148" customWidth="1"/>
    <col min="7" max="7" width="68.26953125" style="148" customWidth="1"/>
    <col min="8" max="8" width="49.26953125" style="148" customWidth="1"/>
    <col min="9" max="9" width="51.6328125" style="148" customWidth="1"/>
    <col min="10" max="10" width="50.26953125" style="148" customWidth="1"/>
    <col min="11" max="11" width="51.81640625" customWidth="1"/>
    <col min="12" max="12" width="66.81640625" style="239" customWidth="1"/>
    <col min="13" max="13" width="46.1796875" style="106" customWidth="1"/>
    <col min="14" max="15" width="8.81640625" style="106" customWidth="1"/>
    <col min="16" max="16384" width="8.816406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2.8">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4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1.4">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6">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1.4">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1.4">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1.4">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1.4">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9">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6">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2.8">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6">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9">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1.4">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1.4">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1.19999999999999">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3.4">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1.4">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74.4">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4.2">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43.6">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5.2">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5.2">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1.4">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6">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6.6">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10.4">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0.8">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58.8">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1.6">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7.2">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6.4">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1.4">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6">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6.4">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9">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5.2">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8">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2.8">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2.8">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10.4">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9">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2">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2">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0.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1.2">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2.8">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5.6">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3.2">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5.2">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1.4">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93.2">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6">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17.39999999999998">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51.8000000000000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8">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03.6000000000000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6.6">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1.4">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82.8">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6">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1.4">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6">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6">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6">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6">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6">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6">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6">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6">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6">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6">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2.8">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6.4">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4.2">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51.80000000000001">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9">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8">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0.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8">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0.8">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10.4">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7.39999999999998">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7">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6">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9">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6">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1.8000000000000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0.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6">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8.4">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6">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8">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2.8">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7">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93.2">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9.4">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6">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6">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1.4">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2">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5.2">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6">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6">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6">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6">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6">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8.8">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4">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0.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799999999999997">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799999999999997">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8">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8">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799999999999997">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6">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9">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0.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7.79999999999999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8">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1.4">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6">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8.8">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4">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14.4">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14.4">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14.4">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14.4">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14.4">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14.4">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14.4">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14.4">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6">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6">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6">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6">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6">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6">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6">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1.4">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1.4">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5.2">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6">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1.4">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5.2">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6">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6">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6">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6">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6">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6">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1.4">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1.4">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6">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1.4">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1.4">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6">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1.4">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5.2">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5.2">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5.2">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5.2">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9">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9">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9">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9">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5.2">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5.2">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5.2">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5.2">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5.2">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5.2">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5.2">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5.2">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1.4">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5.2">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5.2">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5.2">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1.4">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1.4">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1.4">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1.4">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5.2">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5.2">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5.2">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6.6">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1.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1.4">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1.4">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1.4">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1.4">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1.4">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6">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2.8">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6">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6">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9">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6">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6">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9">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Sokna Kry</cp:lastModifiedBy>
  <cp:lastPrinted>2015-04-21T20:47:43Z</cp:lastPrinted>
  <dcterms:created xsi:type="dcterms:W3CDTF">2010-06-21T21:00:23Z</dcterms:created>
  <dcterms:modified xsi:type="dcterms:W3CDTF">2026-05-05T14:22:54Z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